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lc05\OneDrive\Documents\Excel\Projects\"/>
    </mc:Choice>
  </mc:AlternateContent>
  <xr:revisionPtr revIDLastSave="0" documentId="13_ncr:1_{DBE26419-B1EB-407C-AC6A-12C67B8796E1}" xr6:coauthVersionLast="47" xr6:coauthVersionMax="47" xr10:uidLastSave="{00000000-0000-0000-0000-000000000000}"/>
  <bookViews>
    <workbookView xWindow="-108" yWindow="-108" windowWidth="23256" windowHeight="12456" xr2:uid="{D2584BB0-C4F0-4655-B0A6-403AC7BC4551}"/>
  </bookViews>
  <sheets>
    <sheet name="Discounted Cash Flow" sheetId="5" r:id="rId1"/>
    <sheet name="FCF" sheetId="3" r:id="rId2"/>
    <sheet name="Income Statement (Reported)" sheetId="1" r:id="rId3"/>
    <sheet name="Balance Sheet" sheetId="2" r:id="rId4"/>
    <sheet name="Cash Flow Statement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5" l="1"/>
  <c r="B35" i="5"/>
  <c r="B48" i="5" a="1"/>
  <c r="B48" i="5" s="1"/>
  <c r="B44" i="5"/>
  <c r="B43" i="5"/>
  <c r="B12" i="5"/>
  <c r="B11" i="5"/>
  <c r="C32" i="5"/>
  <c r="D32" i="5"/>
  <c r="B32" i="5"/>
  <c r="C31" i="5"/>
  <c r="D31" i="5"/>
  <c r="B31" i="5"/>
  <c r="C30" i="5"/>
  <c r="D30" i="5"/>
  <c r="B30" i="5"/>
  <c r="C29" i="5"/>
  <c r="D29" i="5"/>
  <c r="B29" i="5"/>
  <c r="H28" i="5"/>
  <c r="G28" i="5"/>
  <c r="F28" i="5"/>
  <c r="E28" i="5"/>
  <c r="C28" i="5"/>
  <c r="D28" i="5"/>
  <c r="B28" i="5"/>
  <c r="C27" i="5"/>
  <c r="D27" i="5"/>
  <c r="B27" i="5"/>
  <c r="H26" i="5"/>
  <c r="G26" i="5"/>
  <c r="F26" i="5"/>
  <c r="E26" i="5"/>
  <c r="C26" i="5"/>
  <c r="D26" i="5"/>
  <c r="B26" i="5"/>
  <c r="C25" i="5"/>
  <c r="D25" i="5"/>
  <c r="B25" i="5"/>
  <c r="C22" i="5"/>
  <c r="C23" i="5" s="1"/>
  <c r="D22" i="5"/>
  <c r="D23" i="5" s="1"/>
  <c r="B22" i="5"/>
  <c r="B23" i="5" s="1"/>
  <c r="C18" i="5"/>
  <c r="C19" i="5" s="1"/>
  <c r="D18" i="5"/>
  <c r="D19" i="5" s="1"/>
  <c r="B18" i="5"/>
  <c r="B19" i="5" s="1"/>
  <c r="C16" i="5"/>
  <c r="D16" i="5"/>
  <c r="B16" i="5"/>
  <c r="H3" i="1"/>
  <c r="H17" i="1"/>
  <c r="H16" i="1"/>
  <c r="H15" i="1"/>
  <c r="B8" i="5"/>
  <c r="D10" i="3"/>
  <c r="C10" i="3"/>
  <c r="B10" i="3"/>
  <c r="D8" i="3"/>
  <c r="C8" i="3"/>
  <c r="B8" i="3"/>
  <c r="D6" i="3"/>
  <c r="C6" i="3"/>
  <c r="B6" i="3"/>
  <c r="D5" i="3"/>
  <c r="C5" i="3"/>
  <c r="B5" i="3"/>
  <c r="D4" i="3"/>
  <c r="C4" i="3"/>
  <c r="B4" i="3"/>
  <c r="C37" i="4"/>
  <c r="D37" i="4"/>
  <c r="B37" i="4"/>
  <c r="C27" i="4"/>
  <c r="D27" i="4"/>
  <c r="B27" i="4"/>
  <c r="C20" i="4"/>
  <c r="D20" i="4"/>
  <c r="B20" i="4"/>
  <c r="C13" i="4"/>
  <c r="D13" i="4"/>
  <c r="B13" i="4"/>
  <c r="C4" i="4"/>
  <c r="C21" i="4" s="1"/>
  <c r="D4" i="4"/>
  <c r="D21" i="4" s="1"/>
  <c r="B4" i="4"/>
  <c r="B21" i="4" s="1"/>
  <c r="C3" i="3"/>
  <c r="C7" i="3" s="1"/>
  <c r="C9" i="3" s="1"/>
  <c r="C11" i="3" s="1"/>
  <c r="D3" i="3"/>
  <c r="D7" i="3" s="1"/>
  <c r="D9" i="3" s="1"/>
  <c r="D11" i="3" s="1"/>
  <c r="B3" i="3"/>
  <c r="B7" i="3" s="1"/>
  <c r="B9" i="3" s="1"/>
  <c r="B11" i="3" s="1"/>
  <c r="C35" i="2"/>
  <c r="D35" i="2"/>
  <c r="C34" i="2"/>
  <c r="D34" i="2"/>
  <c r="B34" i="2"/>
  <c r="C27" i="2"/>
  <c r="D27" i="2"/>
  <c r="B27" i="2"/>
  <c r="B35" i="2" s="1"/>
  <c r="C23" i="2"/>
  <c r="D23" i="2"/>
  <c r="B23" i="2"/>
  <c r="C14" i="2"/>
  <c r="D14" i="2"/>
  <c r="B14" i="2"/>
  <c r="C8" i="2"/>
  <c r="D8" i="2"/>
  <c r="B8" i="2"/>
  <c r="C15" i="1"/>
  <c r="D15" i="1"/>
  <c r="E15" i="1"/>
  <c r="F15" i="1"/>
  <c r="C16" i="1"/>
  <c r="D16" i="1"/>
  <c r="E16" i="1"/>
  <c r="F16" i="1"/>
  <c r="C17" i="1"/>
  <c r="D17" i="1"/>
  <c r="E17" i="1"/>
  <c r="F17" i="1"/>
  <c r="B17" i="1"/>
  <c r="B16" i="1"/>
  <c r="B15" i="1"/>
  <c r="F12" i="1"/>
  <c r="C12" i="1"/>
  <c r="D12" i="1"/>
  <c r="E12" i="1"/>
  <c r="B12" i="1"/>
  <c r="C10" i="1"/>
  <c r="D10" i="1"/>
  <c r="E10" i="1"/>
  <c r="F10" i="1"/>
  <c r="B10" i="1"/>
  <c r="C7" i="1"/>
  <c r="D7" i="1"/>
  <c r="E7" i="1"/>
  <c r="F7" i="1"/>
  <c r="B7" i="1"/>
  <c r="C5" i="1"/>
  <c r="D5" i="1"/>
  <c r="E5" i="1"/>
  <c r="F5" i="1"/>
  <c r="B5" i="1"/>
  <c r="E23" i="5" l="1"/>
  <c r="F23" i="5"/>
  <c r="G23" i="5"/>
  <c r="H23" i="5"/>
  <c r="E19" i="5"/>
  <c r="F19" i="5"/>
  <c r="G19" i="5"/>
  <c r="H19" i="5"/>
  <c r="C20" i="5"/>
  <c r="C17" i="5"/>
  <c r="D20" i="5"/>
  <c r="D17" i="5"/>
  <c r="B20" i="5"/>
  <c r="B17" i="5"/>
  <c r="C21" i="5" l="1"/>
  <c r="C24" i="5"/>
  <c r="D21" i="5"/>
  <c r="D24" i="5"/>
  <c r="B21" i="5"/>
  <c r="B24" i="5"/>
  <c r="E17" i="5"/>
  <c r="E16" i="5" s="1"/>
  <c r="F17" i="5"/>
  <c r="G17" i="5"/>
  <c r="H17" i="5"/>
  <c r="E30" i="5" l="1"/>
  <c r="E25" i="5"/>
  <c r="E27" i="5"/>
  <c r="E21" i="5"/>
  <c r="F21" i="5"/>
  <c r="G21" i="5"/>
  <c r="H21" i="5"/>
  <c r="F16" i="5"/>
  <c r="E22" i="5"/>
  <c r="E18" i="5"/>
  <c r="E20" i="5" s="1"/>
  <c r="E24" i="5" l="1"/>
  <c r="E29" i="5" s="1"/>
  <c r="E32" i="5" s="1"/>
  <c r="F25" i="5"/>
  <c r="F30" i="5"/>
  <c r="F27" i="5"/>
  <c r="G16" i="5"/>
  <c r="F18" i="5"/>
  <c r="F20" i="5" s="1"/>
  <c r="F22" i="5"/>
  <c r="G30" i="5" l="1"/>
  <c r="G27" i="5"/>
  <c r="G25" i="5"/>
  <c r="G18" i="5"/>
  <c r="G20" i="5" s="1"/>
  <c r="G22" i="5"/>
  <c r="H16" i="5"/>
  <c r="F24" i="5"/>
  <c r="F29" i="5" s="1"/>
  <c r="F32" i="5" s="1"/>
  <c r="H27" i="5" l="1"/>
  <c r="H30" i="5"/>
  <c r="H25" i="5"/>
  <c r="H18" i="5"/>
  <c r="H20" i="5"/>
  <c r="H22" i="5"/>
  <c r="G24" i="5"/>
  <c r="G29" i="5" s="1"/>
  <c r="G32" i="5" s="1"/>
  <c r="H24" i="5" l="1"/>
  <c r="H29" i="5" s="1"/>
  <c r="H32" i="5" s="1"/>
  <c r="B40" i="5" l="1"/>
  <c r="B36" i="5"/>
  <c r="B37" i="5" s="1"/>
  <c r="B41" i="5" s="1"/>
  <c r="B42" i="5" l="1"/>
  <c r="B45" i="5" s="1"/>
  <c r="B47" i="5" s="1"/>
  <c r="B49" i="5" l="1"/>
  <c r="E41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<sst xmlns="http://schemas.openxmlformats.org/spreadsheetml/2006/main" count="177" uniqueCount="144">
  <si>
    <t>YETI Income Statement (Reported)</t>
  </si>
  <si>
    <t>Net Sales</t>
  </si>
  <si>
    <t>FY2021</t>
  </si>
  <si>
    <t>FY2022</t>
  </si>
  <si>
    <t>FY2023</t>
  </si>
  <si>
    <t>FY2024</t>
  </si>
  <si>
    <t>FY2025</t>
  </si>
  <si>
    <t>COGS</t>
  </si>
  <si>
    <t>Gross Profit</t>
  </si>
  <si>
    <t>SG&amp;A</t>
  </si>
  <si>
    <t>EBIT</t>
  </si>
  <si>
    <t>Interest Expense (Income)</t>
  </si>
  <si>
    <t>Other Income (Expense)</t>
  </si>
  <si>
    <t>EBT</t>
  </si>
  <si>
    <t>Income Tax Expense</t>
  </si>
  <si>
    <t>Net Income</t>
  </si>
  <si>
    <t>Gross Margin</t>
  </si>
  <si>
    <t>Operating Margin</t>
  </si>
  <si>
    <t>Net Margin</t>
  </si>
  <si>
    <t>YETI Consolidated Balance Sheet</t>
  </si>
  <si>
    <t>Cash</t>
  </si>
  <si>
    <t xml:space="preserve">Accounts Receivable </t>
  </si>
  <si>
    <t>Assets</t>
  </si>
  <si>
    <t>Inventory</t>
  </si>
  <si>
    <t>Prepaid Expenses &amp; Other Current Assets</t>
  </si>
  <si>
    <t>Total Current Assets</t>
  </si>
  <si>
    <t>Property &amp; Equipment, net</t>
  </si>
  <si>
    <t>Operating Lease Right-of-Use</t>
  </si>
  <si>
    <t>Goodwill</t>
  </si>
  <si>
    <t>Intangible Assets, net</t>
  </si>
  <si>
    <t>Other Assets</t>
  </si>
  <si>
    <t>Total Assets</t>
  </si>
  <si>
    <t>Liabilities &amp; Stockholder's Equity</t>
  </si>
  <si>
    <t>Accounts Payable</t>
  </si>
  <si>
    <t>Accrued Expenses &amp; Other Current Liabilities</t>
  </si>
  <si>
    <t>Taxes Payable</t>
  </si>
  <si>
    <t>Accrued Payroll &amp; Related Costs</t>
  </si>
  <si>
    <t>Current Portion of LTD</t>
  </si>
  <si>
    <t>Total Current Liabilities</t>
  </si>
  <si>
    <t>Long-Term Debt, net</t>
  </si>
  <si>
    <t>Operating Lease Liabilities (Current)</t>
  </si>
  <si>
    <t>Operating Lease Liabilities (Non-Current)</t>
  </si>
  <si>
    <t>Other Liabilities</t>
  </si>
  <si>
    <t>Total Liabilities</t>
  </si>
  <si>
    <t>Common Stock</t>
  </si>
  <si>
    <t>Treasury Stock (at cost)</t>
  </si>
  <si>
    <t>Additional Paid-in Captial</t>
  </si>
  <si>
    <t>Retained Earnings</t>
  </si>
  <si>
    <t>Accumulated Other Comprehensive Income/Loss</t>
  </si>
  <si>
    <t>Total Equity</t>
  </si>
  <si>
    <t>Total Liabilities &amp; Stockholder's Equity</t>
  </si>
  <si>
    <t>Free Cash Flows</t>
  </si>
  <si>
    <t>Depreciation &amp; Amortization</t>
  </si>
  <si>
    <t>CapEx</t>
  </si>
  <si>
    <t>Cash Flow Statement</t>
  </si>
  <si>
    <t>Cash Flow From Operating Activities</t>
  </si>
  <si>
    <t>Amortization of Deferred Financing Fees</t>
  </si>
  <si>
    <t>Stock-based Compensation</t>
  </si>
  <si>
    <t>Deferred Income Taxes</t>
  </si>
  <si>
    <t>Impairment of Long-Lived Assets</t>
  </si>
  <si>
    <t>Loss on Extinguishment/Modification of Debt</t>
  </si>
  <si>
    <t>Product Recall Adjustments</t>
  </si>
  <si>
    <t>Other Non-cash Adjustments</t>
  </si>
  <si>
    <t>Total Non-Cash Items</t>
  </si>
  <si>
    <t>Accounts Receivable</t>
  </si>
  <si>
    <t>Other Current Assets</t>
  </si>
  <si>
    <t>Accounts Payable and Accrued Expenses</t>
  </si>
  <si>
    <t>Taxes Payble</t>
  </si>
  <si>
    <t>Other Working Captial</t>
  </si>
  <si>
    <t>Total Change in Operating Captial</t>
  </si>
  <si>
    <t>Net Cash Flow from Operating Activities</t>
  </si>
  <si>
    <t>Cash Flow from Investing Activities</t>
  </si>
  <si>
    <t>Purchases of Property and Equipment</t>
  </si>
  <si>
    <t>Business Acquisition (net)</t>
  </si>
  <si>
    <t>Additions of Intangibles</t>
  </si>
  <si>
    <t>Net Cash Used in Investing</t>
  </si>
  <si>
    <t>Cash Flow from Financing Activities</t>
  </si>
  <si>
    <t>Repayment of Long-Term Debt</t>
  </si>
  <si>
    <t>Proceeds from Employee Stock Transaction</t>
  </si>
  <si>
    <t>Taxes Paid for Stock Transactions</t>
  </si>
  <si>
    <t>Finance Lease Principal Payments</t>
  </si>
  <si>
    <t>Share Repurchases</t>
  </si>
  <si>
    <t>Deferred Financing Fees</t>
  </si>
  <si>
    <t>Excise Tax on Repurchases</t>
  </si>
  <si>
    <t>Net Cash from Financing Activities</t>
  </si>
  <si>
    <t>Reconciliation</t>
  </si>
  <si>
    <t>Effect of FX</t>
  </si>
  <si>
    <t>Net Change in Cash</t>
  </si>
  <si>
    <t>Ending Cash</t>
  </si>
  <si>
    <t>Beginning Cash</t>
  </si>
  <si>
    <t>Effective Tax Rate</t>
  </si>
  <si>
    <t>NOPAT (EBIT × (1-Tax Rate))</t>
  </si>
  <si>
    <t>Change in Working Capital</t>
  </si>
  <si>
    <t>Free Cash Flow</t>
  </si>
  <si>
    <t>Net Sales (Reference)</t>
  </si>
  <si>
    <t>FCF Margin</t>
  </si>
  <si>
    <t>Discounted Cash Flows</t>
  </si>
  <si>
    <t>Assumptions</t>
  </si>
  <si>
    <t>Risk-Free Rate</t>
  </si>
  <si>
    <t>Equity Risk Premium</t>
  </si>
  <si>
    <t>Beta</t>
  </si>
  <si>
    <t>Cost of Equity</t>
  </si>
  <si>
    <t>Cost of Debt</t>
  </si>
  <si>
    <t>Weight of Equity</t>
  </si>
  <si>
    <t>Weight of Debt</t>
  </si>
  <si>
    <t>WACC</t>
  </si>
  <si>
    <t>Tax Rate</t>
  </si>
  <si>
    <t>(FY2025)</t>
  </si>
  <si>
    <t>FCF Projections</t>
  </si>
  <si>
    <t>Average:</t>
  </si>
  <si>
    <t>P2026</t>
  </si>
  <si>
    <t>P2027</t>
  </si>
  <si>
    <t>P2028</t>
  </si>
  <si>
    <t>P2029</t>
  </si>
  <si>
    <t>Sales Growth</t>
  </si>
  <si>
    <t>COGS % of Sales</t>
  </si>
  <si>
    <t>Growth Margin</t>
  </si>
  <si>
    <t>SG&amp;A % of Sales</t>
  </si>
  <si>
    <t>D&amp;A % of Sales</t>
  </si>
  <si>
    <t>CapEx % of Sales</t>
  </si>
  <si>
    <t>NOPAT</t>
  </si>
  <si>
    <t>Terminal Value</t>
  </si>
  <si>
    <t>Long-Term Growth Rate</t>
  </si>
  <si>
    <t>Terminal FCF</t>
  </si>
  <si>
    <t>Valuation</t>
  </si>
  <si>
    <t>PV of FCFs</t>
  </si>
  <si>
    <t>PV of Terminal Value</t>
  </si>
  <si>
    <t>Enterprise Value</t>
  </si>
  <si>
    <t>Less Debt</t>
  </si>
  <si>
    <t>Plus Cash</t>
  </si>
  <si>
    <t>Equity Value</t>
  </si>
  <si>
    <t>Shares Outstanding</t>
  </si>
  <si>
    <t>Implied Stock Price</t>
  </si>
  <si>
    <t>Current Stock Price</t>
  </si>
  <si>
    <t>Upside/Downside</t>
  </si>
  <si>
    <t>Growth Rate</t>
  </si>
  <si>
    <t>Market Assumption</t>
  </si>
  <si>
    <t>Morgan Stanely Target</t>
  </si>
  <si>
    <t>UBS Target</t>
  </si>
  <si>
    <t>Notes</t>
  </si>
  <si>
    <t>The market and major banks have increased growth rate assumptions (8%-10%) due to international expansion, rising drinkware revenue percentages, and high gross margins due to brand presence.</t>
  </si>
  <si>
    <t>There is major disagreements on the company's Beta, creating large swings in calculated WACC</t>
  </si>
  <si>
    <t>Sensitivity Analysis</t>
  </si>
  <si>
    <t>Working Capital % of 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</si>
</sst>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9" formatCode="0.0%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7">
    <xf numFmtId="0" fontId="0" fillId="0" borderId="0" xfId="0"/>
    <xf numFmtId="44" fontId="0" fillId="0" borderId="0" xfId="1" applyFont="1"/>
    <xf numFmtId="44" fontId="0" fillId="0" borderId="1" xfId="1" applyFont="1" applyBorder="1"/>
    <xf numFmtId="0" fontId="2" fillId="0" borderId="0" xfId="0" applyFont="1"/>
    <xf numFmtId="0" fontId="0" fillId="0" borderId="1" xfId="0" applyBorder="1"/>
    <xf numFmtId="0" fontId="4" fillId="0" borderId="1" xfId="0" applyFont="1" applyBorder="1"/>
    <xf numFmtId="0" fontId="2" fillId="0" borderId="1" xfId="0" applyFont="1" applyBorder="1"/>
    <xf numFmtId="10" fontId="0" fillId="0" borderId="0" xfId="2" applyNumberFormat="1" applyFont="1"/>
    <xf numFmtId="44" fontId="0" fillId="0" borderId="0" xfId="0" applyNumberFormat="1"/>
    <xf numFmtId="0" fontId="5" fillId="0" borderId="0" xfId="0" applyFont="1"/>
    <xf numFmtId="0" fontId="4" fillId="0" borderId="0" xfId="0" applyFont="1"/>
    <xf numFmtId="0" fontId="4" fillId="0" borderId="2" xfId="0" applyFont="1" applyBorder="1"/>
    <xf numFmtId="44" fontId="0" fillId="0" borderId="2" xfId="0" applyNumberFormat="1" applyBorder="1"/>
    <xf numFmtId="44" fontId="5" fillId="0" borderId="0" xfId="0" applyNumberFormat="1" applyFont="1"/>
    <xf numFmtId="44" fontId="5" fillId="0" borderId="0" xfId="1" applyFont="1"/>
    <xf numFmtId="0" fontId="0" fillId="0" borderId="0" xfId="0" applyAlignment="1">
      <alignment horizontal="right"/>
    </xf>
    <xf numFmtId="0" fontId="5" fillId="0" borderId="0" xfId="0" applyFont="1" applyAlignment="1">
      <alignment horizontal="left"/>
    </xf>
    <xf numFmtId="44" fontId="0" fillId="0" borderId="0" xfId="1" applyFont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10" fontId="0" fillId="0" borderId="0" xfId="0" applyNumberFormat="1"/>
    <xf numFmtId="0" fontId="6" fillId="0" borderId="0" xfId="0" applyFont="1"/>
    <xf numFmtId="164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0" fontId="2" fillId="0" borderId="3" xfId="0" applyFont="1" applyFill="1" applyBorder="1"/>
    <xf numFmtId="164" fontId="2" fillId="0" borderId="3" xfId="0" applyNumberFormat="1" applyFont="1" applyFill="1" applyBorder="1" applyAlignment="1">
      <alignment horizontal="right"/>
    </xf>
    <xf numFmtId="10" fontId="0" fillId="0" borderId="1" xfId="0" applyNumberFormat="1" applyFont="1" applyBorder="1" applyAlignment="1">
      <alignment horizontal="right"/>
    </xf>
    <xf numFmtId="0" fontId="0" fillId="0" borderId="1" xfId="0" applyFont="1" applyBorder="1" applyAlignment="1">
      <alignment horizontal="left"/>
    </xf>
    <xf numFmtId="0" fontId="0" fillId="0" borderId="0" xfId="0" applyFont="1"/>
    <xf numFmtId="0" fontId="0" fillId="0" borderId="1" xfId="0" applyFont="1" applyBorder="1"/>
    <xf numFmtId="169" fontId="0" fillId="0" borderId="0" xfId="2" applyNumberFormat="1" applyFont="1"/>
    <xf numFmtId="0" fontId="0" fillId="0" borderId="0" xfId="0" applyAlignment="1">
      <alignment horizontal="left"/>
    </xf>
    <xf numFmtId="169" fontId="0" fillId="0" borderId="0" xfId="0" applyNumberFormat="1"/>
    <xf numFmtId="44" fontId="0" fillId="0" borderId="0" xfId="0" applyNumberFormat="1" applyFont="1"/>
    <xf numFmtId="10" fontId="0" fillId="0" borderId="0" xfId="0" applyNumberFormat="1" applyFont="1"/>
    <xf numFmtId="169" fontId="0" fillId="0" borderId="0" xfId="0" applyNumberFormat="1" applyFont="1"/>
    <xf numFmtId="0" fontId="0" fillId="0" borderId="4" xfId="0" applyBorder="1"/>
    <xf numFmtId="44" fontId="0" fillId="0" borderId="4" xfId="0" applyNumberFormat="1" applyBorder="1"/>
    <xf numFmtId="169" fontId="0" fillId="0" borderId="4" xfId="2" applyNumberFormat="1" applyFont="1" applyBorder="1"/>
    <xf numFmtId="169" fontId="0" fillId="0" borderId="1" xfId="2" applyNumberFormat="1" applyFont="1" applyBorder="1"/>
    <xf numFmtId="169" fontId="0" fillId="0" borderId="5" xfId="2" applyNumberFormat="1" applyFont="1" applyBorder="1"/>
    <xf numFmtId="169" fontId="0" fillId="0" borderId="1" xfId="0" applyNumberFormat="1" applyFont="1" applyBorder="1"/>
    <xf numFmtId="44" fontId="5" fillId="0" borderId="4" xfId="0" applyNumberFormat="1" applyFont="1" applyBorder="1"/>
    <xf numFmtId="10" fontId="0" fillId="0" borderId="1" xfId="0" applyNumberFormat="1" applyBorder="1"/>
    <xf numFmtId="9" fontId="0" fillId="0" borderId="1" xfId="0" applyNumberFormat="1" applyBorder="1"/>
    <xf numFmtId="169" fontId="0" fillId="0" borderId="1" xfId="0" applyNumberFormat="1" applyBorder="1"/>
    <xf numFmtId="8" fontId="0" fillId="0" borderId="0" xfId="0" applyNumberFormat="1"/>
    <xf numFmtId="8" fontId="5" fillId="0" borderId="0" xfId="0" applyNumberFormat="1" applyFont="1"/>
    <xf numFmtId="43" fontId="0" fillId="0" borderId="0" xfId="3" applyFont="1"/>
    <xf numFmtId="9" fontId="0" fillId="0" borderId="4" xfId="0" applyNumberFormat="1" applyBorder="1"/>
    <xf numFmtId="9" fontId="0" fillId="0" borderId="1" xfId="2" applyFont="1" applyBorder="1"/>
    <xf numFmtId="44" fontId="0" fillId="2" borderId="0" xfId="1" applyFont="1" applyFill="1"/>
    <xf numFmtId="44" fontId="0" fillId="3" borderId="0" xfId="1" applyFont="1" applyFill="1"/>
    <xf numFmtId="44" fontId="0" fillId="4" borderId="0" xfId="1" applyFont="1" applyFill="1"/>
    <xf numFmtId="0" fontId="0" fillId="4" borderId="0" xfId="0" applyFill="1"/>
    <xf numFmtId="0" fontId="0" fillId="3" borderId="0" xfId="0" applyFill="1"/>
    <xf numFmtId="0" fontId="0" fillId="5" borderId="0" xfId="0" applyFill="1"/>
  </cellXfs>
  <cellStyles count="4">
    <cellStyle name="Comma" xfId="3" builtinId="3"/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ichStyles" Target="richData/richStyl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Array" Target="richData/rdarray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5" Type="http://schemas.microsoft.com/office/2017/06/relationships/rdSupportingPropertyBag" Target="richData/rdsupportingpropertybag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microsoft.com/office/2017/06/relationships/rdSupportingPropertyBagStructure" Target="richData/rdsupportingpropertybagstructur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2">
  <a r="1">
    <v t="i">0</v>
  </a>
  <a r="1">
    <v>40.39</v>
  </a>
</arrayData>
</file>

<file path=xl/richData/rdrichvalue.xml><?xml version="1.0" encoding="utf-8"?>
<rvData xmlns="http://schemas.microsoft.com/office/spreadsheetml/2017/richdata" count="2">
  <rv s="0">
    <fb>40.39</fb>
    <v>0</v>
  </rv>
  <rv s="1">
    <v>1</v>
    <v>YETI</v>
    <v>Daily</v>
    <v>46090</v>
    <v>46090</v>
    <v>0</v>
    <v>1</v>
    <v>639086112000000000,639087473167698619,0</v>
    <v>0</v>
    <v>bnegf2</v>
    <v>XNYS:YETI</v>
    <v>1</v>
  </rv>
</rvData>
</file>

<file path=xl/richData/rdrichvaluestructure.xml><?xml version="1.0" encoding="utf-8"?>
<rvStructures xmlns="http://schemas.microsoft.com/office/spreadsheetml/2017/richdata" count="2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2">
    <spb s="0">
      <v>1</v>
    </spb>
    <spb s="1">
      <v>2</v>
      <v>1</v>
    </spb>
  </spbData>
</supportingPropertyBags>
</file>

<file path=xl/richData/rdsupportingpropertybagstructure.xml><?xml version="1.0" encoding="utf-8"?>
<spbStructures xmlns="http://schemas.microsoft.com/office/spreadsheetml/2017/richdata2" count="2">
  <s>
    <k n="_Self" t="i"/>
  </s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19" formatCode="m/d/yyyy"/>
    </x:dxf>
    <x:dxf>
      <x:numFmt numFmtId="0" formatCode="General"/>
    </x:dxf>
  </dxfs>
  <richProperties>
    <rPr n="NumberFormat" t="s"/>
  </richProperties>
  <richStyles>
    <rSty dxfid="1">
      <rpv i="0">_([$$-en-US]* #,##0.00_);_([$$-en-US]* (#,##0.00);_([$$-en-US]* "-"??_);_(@_)</rpv>
    </rSty>
    <rSty dxfid="0"/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2DA21-9288-47E5-8501-7ED588CC5439}">
  <dimension ref="A1:N53"/>
  <sheetViews>
    <sheetView tabSelected="1" topLeftCell="A12" workbookViewId="0">
      <selection activeCell="J18" sqref="J18"/>
    </sheetView>
  </sheetViews>
  <sheetFormatPr defaultRowHeight="14.4" x14ac:dyDescent="0.3"/>
  <cols>
    <col min="1" max="1" width="23.6640625" bestFit="1" customWidth="1"/>
    <col min="2" max="8" width="14.77734375" bestFit="1" customWidth="1"/>
    <col min="14" max="14" width="18.6640625" bestFit="1" customWidth="1"/>
  </cols>
  <sheetData>
    <row r="1" spans="1:8" x14ac:dyDescent="0.3">
      <c r="A1" s="3" t="s">
        <v>96</v>
      </c>
    </row>
    <row r="3" spans="1:8" x14ac:dyDescent="0.3">
      <c r="A3" s="3" t="s">
        <v>97</v>
      </c>
    </row>
    <row r="4" spans="1:8" x14ac:dyDescent="0.3">
      <c r="A4" t="s">
        <v>98</v>
      </c>
      <c r="B4" s="20">
        <v>4.1070000000000002E-2</v>
      </c>
    </row>
    <row r="5" spans="1:8" x14ac:dyDescent="0.3">
      <c r="A5" t="s">
        <v>99</v>
      </c>
      <c r="B5" s="20">
        <v>0.05</v>
      </c>
    </row>
    <row r="6" spans="1:8" x14ac:dyDescent="0.3">
      <c r="A6" t="s">
        <v>100</v>
      </c>
      <c r="B6">
        <v>1.77</v>
      </c>
    </row>
    <row r="7" spans="1:8" x14ac:dyDescent="0.3">
      <c r="A7" t="s">
        <v>106</v>
      </c>
      <c r="B7" s="20">
        <v>0.2492</v>
      </c>
      <c r="C7" t="s">
        <v>107</v>
      </c>
    </row>
    <row r="8" spans="1:8" x14ac:dyDescent="0.3">
      <c r="A8" t="s">
        <v>101</v>
      </c>
      <c r="B8" s="20">
        <f>B4+(B5*B6)</f>
        <v>0.12957000000000002</v>
      </c>
      <c r="E8" s="32"/>
    </row>
    <row r="9" spans="1:8" x14ac:dyDescent="0.3">
      <c r="A9" t="s">
        <v>102</v>
      </c>
      <c r="B9" s="20">
        <v>6.2600000000000003E-2</v>
      </c>
      <c r="C9" t="s">
        <v>107</v>
      </c>
    </row>
    <row r="10" spans="1:8" x14ac:dyDescent="0.3">
      <c r="A10" t="s">
        <v>103</v>
      </c>
      <c r="B10" s="7">
        <f>'Balance Sheet'!D34/('Balance Sheet'!D34+'Balance Sheet'!D22+'Balance Sheet'!D24)</f>
        <v>0.89848276128878934</v>
      </c>
    </row>
    <row r="11" spans="1:8" x14ac:dyDescent="0.3">
      <c r="A11" t="s">
        <v>104</v>
      </c>
      <c r="B11" s="7">
        <f>('Balance Sheet'!D24+'Balance Sheet'!D22)/('Balance Sheet'!D22+'Balance Sheet'!D24+'Balance Sheet'!D34)</f>
        <v>0.10151723871121066</v>
      </c>
    </row>
    <row r="12" spans="1:8" x14ac:dyDescent="0.3">
      <c r="A12" t="s">
        <v>105</v>
      </c>
      <c r="B12" s="7">
        <f>(B10*B8)+(B11*B9*(1-B7))</f>
        <v>0.12118772972099445</v>
      </c>
    </row>
    <row r="14" spans="1:8" x14ac:dyDescent="0.3">
      <c r="A14" s="3" t="s">
        <v>108</v>
      </c>
    </row>
    <row r="15" spans="1:8" x14ac:dyDescent="0.3">
      <c r="B15" t="s">
        <v>4</v>
      </c>
      <c r="C15" t="s">
        <v>5</v>
      </c>
      <c r="D15" s="36" t="s">
        <v>6</v>
      </c>
      <c r="E15" s="28" t="s">
        <v>110</v>
      </c>
      <c r="F15" s="28" t="s">
        <v>111</v>
      </c>
      <c r="G15" s="28" t="s">
        <v>112</v>
      </c>
      <c r="H15" s="28" t="s">
        <v>113</v>
      </c>
    </row>
    <row r="16" spans="1:8" x14ac:dyDescent="0.3">
      <c r="A16" s="9" t="s">
        <v>1</v>
      </c>
      <c r="B16" s="13">
        <f>'Income Statement (Reported)'!D3</f>
        <v>1658713</v>
      </c>
      <c r="C16" s="13">
        <f>'Income Statement (Reported)'!E3</f>
        <v>1829873</v>
      </c>
      <c r="D16" s="42">
        <f>'Income Statement (Reported)'!F3</f>
        <v>1868494</v>
      </c>
      <c r="E16" s="13">
        <f>D16*(1+E17)</f>
        <v>1963465.4394143501</v>
      </c>
      <c r="F16" s="13">
        <f>E16*(1+F17)</f>
        <v>2063264.0681610897</v>
      </c>
      <c r="G16" s="13">
        <f t="shared" ref="G16:H16" si="0">F16*(1+G17)</f>
        <v>2168135.241654377</v>
      </c>
      <c r="H16" s="13">
        <f t="shared" si="0"/>
        <v>2278336.7861843011</v>
      </c>
    </row>
    <row r="17" spans="1:8" x14ac:dyDescent="0.3">
      <c r="A17" s="15" t="s">
        <v>114</v>
      </c>
      <c r="B17" s="30">
        <f>(B16-'Income Statement (Reported)'!C3)/'Discounted Cash Flow'!B16</f>
        <v>3.8277266772491686E-2</v>
      </c>
      <c r="C17" s="30">
        <f>(C16-B16)/C16</f>
        <v>9.3536545978873939E-2</v>
      </c>
      <c r="D17" s="38">
        <f>(D16-C16)/D16</f>
        <v>2.0669587378926556E-2</v>
      </c>
      <c r="E17" s="34">
        <f>AVERAGE(B17:D17)</f>
        <v>5.0827800043430717E-2</v>
      </c>
      <c r="F17" s="34">
        <f>AVERAGE(B17:D17)</f>
        <v>5.0827800043430717E-2</v>
      </c>
      <c r="G17" s="34">
        <f>AVERAGE(B17:D17)</f>
        <v>5.0827800043430717E-2</v>
      </c>
      <c r="H17" s="34">
        <f>AVERAGE(B17:D17)</f>
        <v>5.0827800043430717E-2</v>
      </c>
    </row>
    <row r="18" spans="1:8" x14ac:dyDescent="0.3">
      <c r="A18" s="31" t="s">
        <v>7</v>
      </c>
      <c r="B18" s="8">
        <f>'Income Statement (Reported)'!D4</f>
        <v>715527</v>
      </c>
      <c r="C18" s="8">
        <f>'Income Statement (Reported)'!E4</f>
        <v>766589</v>
      </c>
      <c r="D18" s="37">
        <f>'Income Statement (Reported)'!F4</f>
        <v>795810</v>
      </c>
      <c r="E18" s="33">
        <f>E16*E19</f>
        <v>835267.89969627303</v>
      </c>
      <c r="F18" s="33">
        <f t="shared" ref="F18:H18" si="1">F16*F19</f>
        <v>877722.72948473156</v>
      </c>
      <c r="G18" s="33">
        <f t="shared" si="1"/>
        <v>922335.44487255579</v>
      </c>
      <c r="H18" s="33">
        <f t="shared" si="1"/>
        <v>969215.72643750685</v>
      </c>
    </row>
    <row r="19" spans="1:8" x14ac:dyDescent="0.3">
      <c r="A19" s="15" t="s">
        <v>115</v>
      </c>
      <c r="B19" s="30">
        <f>B18/B16</f>
        <v>0.43137480685326512</v>
      </c>
      <c r="C19" s="30">
        <f>C18/C16</f>
        <v>0.41893016619186141</v>
      </c>
      <c r="D19" s="38">
        <f>D18/D16</f>
        <v>0.42590985039288326</v>
      </c>
      <c r="E19" s="35">
        <f>AVERAGE(B19:D19)</f>
        <v>0.42540494114600325</v>
      </c>
      <c r="F19" s="35">
        <f>AVERAGE(B19:D19)</f>
        <v>0.42540494114600325</v>
      </c>
      <c r="G19" s="35">
        <f>AVERAGE(B19:D19)</f>
        <v>0.42540494114600325</v>
      </c>
      <c r="H19" s="35">
        <f>AVERAGE(B19:D19)</f>
        <v>0.42540494114600325</v>
      </c>
    </row>
    <row r="20" spans="1:8" x14ac:dyDescent="0.3">
      <c r="A20" s="31" t="s">
        <v>8</v>
      </c>
      <c r="B20" s="8">
        <f>B16-B18</f>
        <v>943186</v>
      </c>
      <c r="C20" s="8">
        <f t="shared" ref="C20:H20" si="2">C16-C18</f>
        <v>1063284</v>
      </c>
      <c r="D20" s="37">
        <f t="shared" si="2"/>
        <v>1072684</v>
      </c>
      <c r="E20" s="33">
        <f t="shared" si="2"/>
        <v>1128197.5397180771</v>
      </c>
      <c r="F20" s="33">
        <f t="shared" si="2"/>
        <v>1185541.3386763581</v>
      </c>
      <c r="G20" s="33">
        <f t="shared" si="2"/>
        <v>1245799.7967818212</v>
      </c>
      <c r="H20" s="33">
        <f t="shared" si="2"/>
        <v>1309121.0597467944</v>
      </c>
    </row>
    <row r="21" spans="1:8" x14ac:dyDescent="0.3">
      <c r="A21" s="15" t="s">
        <v>116</v>
      </c>
      <c r="B21" s="30">
        <f>B20/B16</f>
        <v>0.56862519314673488</v>
      </c>
      <c r="C21" s="30">
        <f t="shared" ref="C21:D21" si="3">C20/C16</f>
        <v>0.58106983380813859</v>
      </c>
      <c r="D21" s="38">
        <f t="shared" si="3"/>
        <v>0.5740901496071168</v>
      </c>
      <c r="E21" s="35">
        <f>AVERAGE(B21:D21)</f>
        <v>0.57459505885399675</v>
      </c>
      <c r="F21" s="35">
        <f>AVERAGE(B21:D21)</f>
        <v>0.57459505885399675</v>
      </c>
      <c r="G21" s="35">
        <f>AVERAGE(B21:D21)</f>
        <v>0.57459505885399675</v>
      </c>
      <c r="H21" s="35">
        <f>AVERAGE(B21:D21)</f>
        <v>0.57459505885399675</v>
      </c>
    </row>
    <row r="22" spans="1:8" x14ac:dyDescent="0.3">
      <c r="A22" s="31" t="s">
        <v>9</v>
      </c>
      <c r="B22" s="8">
        <f>'Income Statement (Reported)'!D6</f>
        <v>717728</v>
      </c>
      <c r="C22" s="8">
        <f>'Income Statement (Reported)'!E6</f>
        <v>817908</v>
      </c>
      <c r="D22" s="37">
        <f>'Income Statement (Reported)'!F6</f>
        <v>859127</v>
      </c>
      <c r="E22" s="33">
        <f>E16*E23</f>
        <v>876669.9880686301</v>
      </c>
      <c r="F22" s="33">
        <f t="shared" ref="F22:H22" si="4">F16*F23</f>
        <v>921229.19492625934</v>
      </c>
      <c r="G22" s="33">
        <f t="shared" si="4"/>
        <v>968053.2482401419</v>
      </c>
      <c r="H22" s="33">
        <f t="shared" si="4"/>
        <v>1017257.2651730855</v>
      </c>
    </row>
    <row r="23" spans="1:8" x14ac:dyDescent="0.3">
      <c r="A23" s="19" t="s">
        <v>117</v>
      </c>
      <c r="B23" s="39">
        <f>B22/B16</f>
        <v>0.43270173924000116</v>
      </c>
      <c r="C23" s="39">
        <f t="shared" ref="C23:D23" si="5">C22/C16</f>
        <v>0.44697528189114766</v>
      </c>
      <c r="D23" s="40">
        <f t="shared" si="5"/>
        <v>0.45979649921273497</v>
      </c>
      <c r="E23" s="41">
        <f>AVERAGE(B23:D23)</f>
        <v>0.4464911734479613</v>
      </c>
      <c r="F23" s="41">
        <f>AVERAGE(B23:D23)</f>
        <v>0.4464911734479613</v>
      </c>
      <c r="G23" s="41">
        <f>AVERAGE(B23:D23)</f>
        <v>0.4464911734479613</v>
      </c>
      <c r="H23" s="41">
        <f>AVERAGE(B23:D23)</f>
        <v>0.4464911734479613</v>
      </c>
    </row>
    <row r="24" spans="1:8" x14ac:dyDescent="0.3">
      <c r="A24" s="16" t="s">
        <v>10</v>
      </c>
      <c r="B24" s="13">
        <f>B20-B22</f>
        <v>225458</v>
      </c>
      <c r="C24" s="13">
        <f t="shared" ref="C24:H24" si="6">C20-C22</f>
        <v>245376</v>
      </c>
      <c r="D24" s="42">
        <f>D20-D22</f>
        <v>213557</v>
      </c>
      <c r="E24" s="13">
        <f t="shared" si="6"/>
        <v>251527.55164944695</v>
      </c>
      <c r="F24" s="13">
        <f t="shared" si="6"/>
        <v>264312.14375009877</v>
      </c>
      <c r="G24" s="13">
        <f t="shared" si="6"/>
        <v>277746.54854167928</v>
      </c>
      <c r="H24" s="13">
        <f t="shared" si="6"/>
        <v>291863.7945737089</v>
      </c>
    </row>
    <row r="25" spans="1:8" x14ac:dyDescent="0.3">
      <c r="A25" t="s">
        <v>52</v>
      </c>
      <c r="B25" s="1">
        <f>FCF!B4</f>
        <v>46434</v>
      </c>
      <c r="C25" s="1">
        <f>FCF!C4</f>
        <v>48132</v>
      </c>
      <c r="D25" s="1">
        <f>FCF!D4</f>
        <v>54232</v>
      </c>
      <c r="E25" s="8">
        <f>E16*E26</f>
        <v>54533.224970576477</v>
      </c>
      <c r="F25" s="8">
        <f t="shared" ref="F25:H25" si="7">F16*F26</f>
        <v>57305.028825104368</v>
      </c>
      <c r="G25" s="8">
        <f t="shared" si="7"/>
        <v>60217.717371709805</v>
      </c>
      <c r="H25" s="8">
        <f t="shared" si="7"/>
        <v>63278.451469350905</v>
      </c>
    </row>
    <row r="26" spans="1:8" x14ac:dyDescent="0.3">
      <c r="A26" s="15" t="s">
        <v>118</v>
      </c>
      <c r="B26" s="30">
        <f>B25/B16</f>
        <v>2.799399293307522E-2</v>
      </c>
      <c r="C26" s="30">
        <f t="shared" ref="C26:D26" si="8">C25/C16</f>
        <v>2.630346477597079E-2</v>
      </c>
      <c r="D26" s="30">
        <f t="shared" si="8"/>
        <v>2.9024444285076646E-2</v>
      </c>
      <c r="E26" s="32">
        <f>AVERAGE(B26:D26)</f>
        <v>2.7773967331374216E-2</v>
      </c>
      <c r="F26" s="32">
        <f>AVERAGE(B26:D26)</f>
        <v>2.7773967331374216E-2</v>
      </c>
      <c r="G26" s="32">
        <f>AVERAGE(B26:D26)</f>
        <v>2.7773967331374216E-2</v>
      </c>
      <c r="H26" s="32">
        <f>AVERAGE(B26:D26)</f>
        <v>2.7773967331374216E-2</v>
      </c>
    </row>
    <row r="27" spans="1:8" x14ac:dyDescent="0.3">
      <c r="A27" t="s">
        <v>53</v>
      </c>
      <c r="B27" s="1">
        <f>FCF!B5</f>
        <v>72824</v>
      </c>
      <c r="C27" s="1">
        <f>FCF!C5</f>
        <v>95284</v>
      </c>
      <c r="D27" s="1">
        <f>FCF!D5</f>
        <v>101839</v>
      </c>
      <c r="E27" s="8">
        <f>E28*E16</f>
        <v>98486.473433765073</v>
      </c>
      <c r="F27" s="8">
        <f t="shared" ref="F27:H27" si="9">F28*F16</f>
        <v>103492.32421243915</v>
      </c>
      <c r="G27" s="8">
        <f t="shared" si="9"/>
        <v>108752.61137353891</v>
      </c>
      <c r="H27" s="8">
        <f t="shared" si="9"/>
        <v>114280.26735863408</v>
      </c>
    </row>
    <row r="28" spans="1:8" x14ac:dyDescent="0.3">
      <c r="A28" s="19" t="s">
        <v>119</v>
      </c>
      <c r="B28" s="39">
        <f>B27/B16</f>
        <v>4.3903918278810135E-2</v>
      </c>
      <c r="C28" s="39">
        <f t="shared" ref="C28:D28" si="10">C27/C16</f>
        <v>5.2071373259237115E-2</v>
      </c>
      <c r="D28" s="39">
        <f t="shared" si="10"/>
        <v>5.4503252351894092E-2</v>
      </c>
      <c r="E28" s="45">
        <f>AVERAGE(B28:D28)</f>
        <v>5.0159514629980445E-2</v>
      </c>
      <c r="F28" s="45">
        <f>AVERAGE(B28:D28)</f>
        <v>5.0159514629980445E-2</v>
      </c>
      <c r="G28" s="45">
        <f>AVERAGE(B28:D28)</f>
        <v>5.0159514629980445E-2</v>
      </c>
      <c r="H28" s="45">
        <f>AVERAGE(B28:D28)</f>
        <v>5.0159514629980445E-2</v>
      </c>
    </row>
    <row r="29" spans="1:8" x14ac:dyDescent="0.3">
      <c r="A29" s="9" t="s">
        <v>120</v>
      </c>
      <c r="B29" s="13">
        <f>B24*(1-$B$7)</f>
        <v>169273.8664</v>
      </c>
      <c r="C29" s="13">
        <f t="shared" ref="C29:H29" si="11">C24*(1-$B$7)</f>
        <v>184228.3008</v>
      </c>
      <c r="D29" s="13">
        <f t="shared" si="11"/>
        <v>160338.5956</v>
      </c>
      <c r="E29" s="13">
        <f t="shared" si="11"/>
        <v>188846.88577840477</v>
      </c>
      <c r="F29" s="13">
        <f t="shared" si="11"/>
        <v>198445.55752757416</v>
      </c>
      <c r="G29" s="13">
        <f t="shared" si="11"/>
        <v>208532.10864509281</v>
      </c>
      <c r="H29" s="13">
        <f t="shared" si="11"/>
        <v>219131.33696594066</v>
      </c>
    </row>
    <row r="30" spans="1:8" x14ac:dyDescent="0.3">
      <c r="A30" s="31" t="s">
        <v>92</v>
      </c>
      <c r="B30" s="1">
        <f>FCF!B8</f>
        <v>14669</v>
      </c>
      <c r="C30" s="1">
        <f>FCF!C8</f>
        <v>-17937</v>
      </c>
      <c r="D30" s="1">
        <f>FCF!D8</f>
        <v>-44100</v>
      </c>
      <c r="E30" s="8">
        <f>E16*E31</f>
        <v>-29451.981591215252</v>
      </c>
      <c r="F30" s="8">
        <f t="shared" ref="F30:H30" si="12">F16*F31</f>
        <v>-20632.640681610897</v>
      </c>
      <c r="G30" s="8">
        <f t="shared" si="12"/>
        <v>-10840.676208271885</v>
      </c>
      <c r="H30" s="8">
        <f t="shared" si="12"/>
        <v>0</v>
      </c>
    </row>
    <row r="31" spans="1:8" x14ac:dyDescent="0.3">
      <c r="A31" s="19" t="s">
        <v>143</v>
      </c>
      <c r="B31" s="39">
        <f>B30/B16</f>
        <v>8.8436034443571607E-3</v>
      </c>
      <c r="C31" s="39">
        <f t="shared" ref="C31:D31" si="13">C30/C16</f>
        <v>-9.8023196145306263E-3</v>
      </c>
      <c r="D31" s="39">
        <f t="shared" si="13"/>
        <v>-2.3601895430223487E-2</v>
      </c>
      <c r="E31" s="43">
        <v>-1.4999999999999999E-2</v>
      </c>
      <c r="F31" s="44">
        <v>-0.01</v>
      </c>
      <c r="G31" s="43">
        <v>-5.0000000000000001E-3</v>
      </c>
      <c r="H31" s="44">
        <v>0</v>
      </c>
    </row>
    <row r="32" spans="1:8" s="9" customFormat="1" x14ac:dyDescent="0.3">
      <c r="A32" s="9" t="s">
        <v>93</v>
      </c>
      <c r="B32" s="13">
        <f>B29+B25-B27+B30</f>
        <v>157552.8664</v>
      </c>
      <c r="C32" s="13">
        <f t="shared" ref="C32:H32" si="14">C29+C25-C27+C30</f>
        <v>119139.3008</v>
      </c>
      <c r="D32" s="13">
        <f t="shared" si="14"/>
        <v>68631.595600000001</v>
      </c>
      <c r="E32" s="13">
        <f t="shared" si="14"/>
        <v>115441.65572400093</v>
      </c>
      <c r="F32" s="13">
        <f t="shared" si="14"/>
        <v>131625.62145862848</v>
      </c>
      <c r="G32" s="13">
        <f t="shared" si="14"/>
        <v>149156.53843499185</v>
      </c>
      <c r="H32" s="13">
        <f t="shared" si="14"/>
        <v>168129.52107665746</v>
      </c>
    </row>
    <row r="34" spans="1:14" x14ac:dyDescent="0.3">
      <c r="A34" s="3" t="s">
        <v>121</v>
      </c>
    </row>
    <row r="35" spans="1:14" x14ac:dyDescent="0.3">
      <c r="A35" t="s">
        <v>122</v>
      </c>
      <c r="B35" s="20">
        <f>E17*0.55</f>
        <v>2.7955290023886897E-2</v>
      </c>
    </row>
    <row r="36" spans="1:14" x14ac:dyDescent="0.3">
      <c r="A36" t="s">
        <v>123</v>
      </c>
      <c r="B36" s="8">
        <f>H32</f>
        <v>168129.52107665746</v>
      </c>
    </row>
    <row r="37" spans="1:14" x14ac:dyDescent="0.3">
      <c r="A37" s="9" t="s">
        <v>121</v>
      </c>
      <c r="B37" s="13">
        <f>B36*(1+B35)/(B12-B35)</f>
        <v>1853749.9518560222</v>
      </c>
    </row>
    <row r="39" spans="1:14" x14ac:dyDescent="0.3">
      <c r="A39" s="3" t="s">
        <v>124</v>
      </c>
      <c r="D39" s="3" t="s">
        <v>142</v>
      </c>
    </row>
    <row r="40" spans="1:14" x14ac:dyDescent="0.3">
      <c r="A40" t="s">
        <v>125</v>
      </c>
      <c r="B40" s="46">
        <f>NPV(B12,E32:H32)</f>
        <v>419899.59463762317</v>
      </c>
      <c r="F40" t="s">
        <v>135</v>
      </c>
    </row>
    <row r="41" spans="1:14" x14ac:dyDescent="0.3">
      <c r="A41" t="s">
        <v>126</v>
      </c>
      <c r="B41" s="1">
        <f>B37*(1/(1+B12)^4)</f>
        <v>1173107.4908511126</v>
      </c>
      <c r="E41" s="8">
        <f>B47</f>
        <v>20.453605814236354</v>
      </c>
      <c r="F41" s="50">
        <v>0.04</v>
      </c>
      <c r="G41" s="50">
        <v>0.05</v>
      </c>
      <c r="H41" s="50">
        <v>0.06</v>
      </c>
      <c r="I41" s="50">
        <v>7.0000000000000007E-2</v>
      </c>
      <c r="J41" s="50">
        <v>0.08</v>
      </c>
      <c r="K41" s="50">
        <v>0.09</v>
      </c>
      <c r="L41" s="50">
        <v>0.1</v>
      </c>
    </row>
    <row r="42" spans="1:14" x14ac:dyDescent="0.3">
      <c r="A42" s="9" t="s">
        <v>127</v>
      </c>
      <c r="B42" s="47">
        <f>SUM(B40:B41)</f>
        <v>1593007.0854887357</v>
      </c>
      <c r="D42" t="s">
        <v>105</v>
      </c>
      <c r="E42" s="49">
        <v>0.08</v>
      </c>
      <c r="F42" s="1">
        <f t="dataTable" ref="F42:L49" dt2D="1" dtr="1" r1="E17" r2="B12"/>
        <v>32.658273915945834</v>
      </c>
      <c r="G42" s="1">
        <v>35.843892448415055</v>
      </c>
      <c r="H42" s="1">
        <v>39.766061873128656</v>
      </c>
      <c r="I42" s="1">
        <v>44.717627725557392</v>
      </c>
      <c r="J42" s="1">
        <v>51.170396701737268</v>
      </c>
      <c r="K42" s="1">
        <v>59.936495081730421</v>
      </c>
      <c r="L42" s="1">
        <v>72.542720272053629</v>
      </c>
    </row>
    <row r="43" spans="1:14" x14ac:dyDescent="0.3">
      <c r="A43" t="s">
        <v>128</v>
      </c>
      <c r="B43" s="8">
        <f>'Balance Sheet'!D22+'Balance Sheet'!D24</f>
        <v>73473</v>
      </c>
      <c r="E43" s="49">
        <v>0.09</v>
      </c>
      <c r="F43" s="1">
        <v>27.938533037540605</v>
      </c>
      <c r="G43" s="1">
        <v>30.20447027403468</v>
      </c>
      <c r="H43" s="1">
        <v>32.90039451127069</v>
      </c>
      <c r="I43" s="1">
        <v>36.164068574729114</v>
      </c>
      <c r="J43" s="51">
        <v>40.199141858598374</v>
      </c>
      <c r="K43" s="52">
        <v>45.319888119342188</v>
      </c>
      <c r="L43" s="53">
        <v>52.038124617487099</v>
      </c>
      <c r="N43" s="56" t="s">
        <v>136</v>
      </c>
    </row>
    <row r="44" spans="1:14" x14ac:dyDescent="0.3">
      <c r="A44" t="s">
        <v>129</v>
      </c>
      <c r="B44" s="8">
        <f>'Balance Sheet'!D4</f>
        <v>188342</v>
      </c>
      <c r="E44" s="49">
        <v>0.1</v>
      </c>
      <c r="F44" s="1">
        <v>24.432107830794344</v>
      </c>
      <c r="G44" s="1">
        <v>26.123973316836697</v>
      </c>
      <c r="H44" s="1">
        <v>28.087511829468081</v>
      </c>
      <c r="I44" s="1">
        <v>30.395611253870964</v>
      </c>
      <c r="J44" s="1">
        <v>33.149794001549402</v>
      </c>
      <c r="K44" s="1">
        <v>36.495810069217228</v>
      </c>
      <c r="L44" s="1">
        <v>40.650665007537199</v>
      </c>
      <c r="N44" s="55" t="s">
        <v>137</v>
      </c>
    </row>
    <row r="45" spans="1:14" x14ac:dyDescent="0.3">
      <c r="A45" s="9" t="s">
        <v>130</v>
      </c>
      <c r="B45" s="47">
        <f>B42-B43+B44</f>
        <v>1707876.0854887357</v>
      </c>
      <c r="E45" s="49">
        <v>0.11</v>
      </c>
      <c r="F45" s="1">
        <v>21.725256624499274</v>
      </c>
      <c r="G45" s="1">
        <v>23.035405916769047</v>
      </c>
      <c r="H45" s="1">
        <v>24.527511168879084</v>
      </c>
      <c r="I45" s="1">
        <v>26.243562217715652</v>
      </c>
      <c r="J45" s="1">
        <v>28.239545512460339</v>
      </c>
      <c r="K45" s="1">
        <v>30.591806211088116</v>
      </c>
      <c r="L45" s="1">
        <v>33.407227534763891</v>
      </c>
      <c r="N45" s="54" t="s">
        <v>138</v>
      </c>
    </row>
    <row r="46" spans="1:14" x14ac:dyDescent="0.3">
      <c r="A46" t="s">
        <v>131</v>
      </c>
      <c r="B46" s="48">
        <v>83.5</v>
      </c>
      <c r="E46" s="49">
        <v>0.12</v>
      </c>
      <c r="F46" s="1">
        <v>19.573116853329815</v>
      </c>
      <c r="G46" s="1">
        <v>20.616964753725654</v>
      </c>
      <c r="H46" s="1">
        <v>21.78826631241196</v>
      </c>
      <c r="I46" s="1">
        <v>23.112825030760458</v>
      </c>
      <c r="J46" s="1">
        <v>24.623913844750401</v>
      </c>
      <c r="K46" s="1">
        <v>26.365188734212797</v>
      </c>
      <c r="L46" s="1">
        <v>28.395081549075247</v>
      </c>
    </row>
    <row r="47" spans="1:14" x14ac:dyDescent="0.3">
      <c r="A47" s="9" t="s">
        <v>132</v>
      </c>
      <c r="B47" s="14">
        <f>B45/(B46*1000)</f>
        <v>20.453605814236354</v>
      </c>
      <c r="E47" s="49">
        <v>0.13</v>
      </c>
      <c r="F47" s="1">
        <v>17.821520023703133</v>
      </c>
      <c r="G47" s="1">
        <v>18.672432562781218</v>
      </c>
      <c r="H47" s="1">
        <v>19.615851731645257</v>
      </c>
      <c r="I47" s="1">
        <v>20.668459053699305</v>
      </c>
      <c r="J47" s="1">
        <v>21.851203418799557</v>
      </c>
      <c r="K47" s="1">
        <v>23.190758879247426</v>
      </c>
      <c r="L47" s="1">
        <v>24.721623876019382</v>
      </c>
    </row>
    <row r="48" spans="1:14" x14ac:dyDescent="0.3">
      <c r="A48" t="s">
        <v>133</v>
      </c>
      <c r="B48" cm="1" vm="1">
        <f t="array" aca="1" ref="B48" ca="1">_xlfn.STOCKHISTORY("YETI",TODAY()-1,,,0,1)</f>
        <v>40.39</v>
      </c>
      <c r="E48" s="49">
        <v>0.14000000000000001</v>
      </c>
      <c r="F48" s="1">
        <v>16.368561797884478</v>
      </c>
      <c r="G48" s="1">
        <v>17.075361884178118</v>
      </c>
      <c r="H48" s="1">
        <v>17.851271010624629</v>
      </c>
      <c r="I48" s="1">
        <v>18.707523651731652</v>
      </c>
      <c r="J48" s="1">
        <v>19.657928849081433</v>
      </c>
      <c r="K48" s="1">
        <v>20.719652538342562</v>
      </c>
      <c r="L48" s="1">
        <v>21.914303603238999</v>
      </c>
    </row>
    <row r="49" spans="1:12" x14ac:dyDescent="0.3">
      <c r="A49" s="9" t="s">
        <v>134</v>
      </c>
      <c r="B49" s="30">
        <f ca="1">(B47-B48)/B48</f>
        <v>-0.49359728115285084</v>
      </c>
      <c r="E49" s="49">
        <v>0.15</v>
      </c>
      <c r="F49" s="1">
        <v>15.14418611492496</v>
      </c>
      <c r="G49" s="1">
        <v>15.740597398513025</v>
      </c>
      <c r="H49" s="1">
        <v>16.389888655829925</v>
      </c>
      <c r="I49" s="1">
        <v>17.099885174467836</v>
      </c>
      <c r="J49" s="1">
        <v>17.88003635831161</v>
      </c>
      <c r="K49" s="1">
        <v>18.741860137469693</v>
      </c>
      <c r="L49" s="1">
        <v>19.69954175218087</v>
      </c>
    </row>
    <row r="51" spans="1:12" x14ac:dyDescent="0.3">
      <c r="A51" s="3" t="s">
        <v>139</v>
      </c>
    </row>
    <row r="52" spans="1:12" x14ac:dyDescent="0.3">
      <c r="A52" s="9" t="s">
        <v>135</v>
      </c>
      <c r="B52" s="10" t="s">
        <v>140</v>
      </c>
    </row>
    <row r="53" spans="1:12" x14ac:dyDescent="0.3">
      <c r="A53" s="9" t="s">
        <v>105</v>
      </c>
      <c r="B53" s="10" t="s">
        <v>141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BD02A-8D41-42C1-BE64-991AA3E8B8CE}">
  <dimension ref="A1:D11"/>
  <sheetViews>
    <sheetView workbookViewId="0">
      <selection activeCell="B9" sqref="B9"/>
    </sheetView>
  </sheetViews>
  <sheetFormatPr defaultRowHeight="14.4" x14ac:dyDescent="0.3"/>
  <cols>
    <col min="1" max="1" width="46.33203125" customWidth="1"/>
    <col min="2" max="4" width="18.5546875" customWidth="1"/>
  </cols>
  <sheetData>
    <row r="1" spans="1:4" ht="15.6" x14ac:dyDescent="0.3">
      <c r="A1" s="21" t="s">
        <v>51</v>
      </c>
    </row>
    <row r="2" spans="1:4" x14ac:dyDescent="0.3">
      <c r="A2" s="6"/>
      <c r="B2" s="27" t="s">
        <v>4</v>
      </c>
      <c r="C2" s="27" t="s">
        <v>5</v>
      </c>
      <c r="D2" s="27" t="s">
        <v>6</v>
      </c>
    </row>
    <row r="3" spans="1:4" x14ac:dyDescent="0.3">
      <c r="A3" s="28" t="s">
        <v>10</v>
      </c>
      <c r="B3" s="22">
        <f>'Income Statement (Reported)'!D7</f>
        <v>225458</v>
      </c>
      <c r="C3" s="22">
        <f>'Income Statement (Reported)'!E7</f>
        <v>245376</v>
      </c>
      <c r="D3" s="22">
        <f>'Income Statement (Reported)'!F7</f>
        <v>213557</v>
      </c>
    </row>
    <row r="4" spans="1:4" x14ac:dyDescent="0.3">
      <c r="A4" s="28" t="s">
        <v>52</v>
      </c>
      <c r="B4" s="22">
        <f>'Cash Flow Statement'!B5</f>
        <v>46434</v>
      </c>
      <c r="C4" s="22">
        <f>'Cash Flow Statement'!C5</f>
        <v>48132</v>
      </c>
      <c r="D4" s="22">
        <f>'Cash Flow Statement'!D5</f>
        <v>54232</v>
      </c>
    </row>
    <row r="5" spans="1:4" x14ac:dyDescent="0.3">
      <c r="A5" s="28" t="s">
        <v>53</v>
      </c>
      <c r="B5" s="22">
        <f>-('Cash Flow Statement'!B24+'Cash Flow Statement'!B26)</f>
        <v>72824</v>
      </c>
      <c r="C5" s="22">
        <f>-('Cash Flow Statement'!C24+'Cash Flow Statement'!C26)</f>
        <v>95284</v>
      </c>
      <c r="D5" s="22">
        <f>-('Cash Flow Statement'!D24+'Cash Flow Statement'!D26)</f>
        <v>101839</v>
      </c>
    </row>
    <row r="6" spans="1:4" x14ac:dyDescent="0.3">
      <c r="A6" s="28" t="s">
        <v>90</v>
      </c>
      <c r="B6" s="23">
        <f>-'Income Statement (Reported)'!D11/'Income Statement (Reported)'!D10</f>
        <v>0.24811680667062042</v>
      </c>
      <c r="C6" s="23">
        <f>-'Income Statement (Reported)'!E11/'Income Statement (Reported)'!E10</f>
        <v>0.24547773654916513</v>
      </c>
      <c r="D6" s="23">
        <f>-'Income Statement (Reported)'!F11/'Income Statement (Reported)'!F10</f>
        <v>0.24919988560066461</v>
      </c>
    </row>
    <row r="7" spans="1:4" x14ac:dyDescent="0.3">
      <c r="A7" s="28" t="s">
        <v>91</v>
      </c>
      <c r="B7" s="22">
        <f>B3*(1-B6)</f>
        <v>169518.08100165526</v>
      </c>
      <c r="C7" s="22">
        <f>C3*(1-C6)</f>
        <v>185141.65491651205</v>
      </c>
      <c r="D7" s="22">
        <f>D3*(1-D6)</f>
        <v>160338.62003077887</v>
      </c>
    </row>
    <row r="8" spans="1:4" ht="15" thickBot="1" x14ac:dyDescent="0.35">
      <c r="A8" s="28" t="s">
        <v>92</v>
      </c>
      <c r="B8" s="22">
        <f>'Cash Flow Statement'!B20</f>
        <v>14669</v>
      </c>
      <c r="C8" s="22">
        <f>'Cash Flow Statement'!C20</f>
        <v>-17937</v>
      </c>
      <c r="D8" s="22">
        <f>'Cash Flow Statement'!D20</f>
        <v>-44100</v>
      </c>
    </row>
    <row r="9" spans="1:4" x14ac:dyDescent="0.3">
      <c r="A9" s="24" t="s">
        <v>93</v>
      </c>
      <c r="B9" s="25">
        <f>B7+B4-B5+B8</f>
        <v>157797.08100165526</v>
      </c>
      <c r="C9" s="25">
        <f>C7+C4-C5+C8</f>
        <v>120052.65491651205</v>
      </c>
      <c r="D9" s="25">
        <f>D7+D4-D5+D8</f>
        <v>68631.620030778868</v>
      </c>
    </row>
    <row r="10" spans="1:4" x14ac:dyDescent="0.3">
      <c r="A10" s="28" t="s">
        <v>94</v>
      </c>
      <c r="B10" s="22">
        <f>'Income Statement (Reported)'!D3</f>
        <v>1658713</v>
      </c>
      <c r="C10" s="22">
        <f>'Income Statement (Reported)'!E3</f>
        <v>1829873</v>
      </c>
      <c r="D10" s="22">
        <f>'Income Statement (Reported)'!F3</f>
        <v>1868494</v>
      </c>
    </row>
    <row r="11" spans="1:4" x14ac:dyDescent="0.3">
      <c r="A11" s="29" t="s">
        <v>95</v>
      </c>
      <c r="B11" s="26">
        <f>B9/B10</f>
        <v>9.5132238670375915E-2</v>
      </c>
      <c r="C11" s="26">
        <f>C9/C10</f>
        <v>6.5607096731036554E-2</v>
      </c>
      <c r="D11" s="26">
        <f>D9/D10</f>
        <v>3.6730982294178559E-2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325CC-56D9-448C-B930-15D0203F2CE6}">
  <dimension ref="A1:H17"/>
  <sheetViews>
    <sheetView workbookViewId="0">
      <selection activeCell="A3" sqref="A3:A7"/>
    </sheetView>
  </sheetViews>
  <sheetFormatPr defaultRowHeight="14.4" x14ac:dyDescent="0.3"/>
  <cols>
    <col min="1" max="1" width="28.44140625" bestFit="1" customWidth="1"/>
    <col min="2" max="6" width="13.88671875" bestFit="1" customWidth="1"/>
  </cols>
  <sheetData>
    <row r="1" spans="1:8" x14ac:dyDescent="0.3">
      <c r="A1" s="3" t="s">
        <v>0</v>
      </c>
    </row>
    <row r="2" spans="1:8" x14ac:dyDescent="0.3"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pans="1:8" x14ac:dyDescent="0.3">
      <c r="A3" s="3" t="s">
        <v>1</v>
      </c>
      <c r="B3" s="1">
        <v>1410989</v>
      </c>
      <c r="C3" s="1">
        <v>1595222</v>
      </c>
      <c r="D3" s="1">
        <v>1658713</v>
      </c>
      <c r="E3" s="1">
        <v>1829873</v>
      </c>
      <c r="F3" s="1">
        <v>1868494</v>
      </c>
      <c r="G3" s="10" t="s">
        <v>109</v>
      </c>
      <c r="H3" s="7">
        <f>POWER(F3/B3,1/5)-1</f>
        <v>5.7775773189284063E-2</v>
      </c>
    </row>
    <row r="4" spans="1:8" x14ac:dyDescent="0.3">
      <c r="A4" s="6" t="s">
        <v>7</v>
      </c>
      <c r="B4" s="2">
        <v>594876</v>
      </c>
      <c r="C4" s="2">
        <v>831821</v>
      </c>
      <c r="D4" s="2">
        <v>715527</v>
      </c>
      <c r="E4" s="2">
        <v>766589</v>
      </c>
      <c r="F4" s="2">
        <v>795810</v>
      </c>
    </row>
    <row r="5" spans="1:8" x14ac:dyDescent="0.3">
      <c r="A5" s="3" t="s">
        <v>8</v>
      </c>
      <c r="B5" s="1">
        <f>B3-B4</f>
        <v>816113</v>
      </c>
      <c r="C5" s="1">
        <f t="shared" ref="C5:F5" si="0">C3-C4</f>
        <v>763401</v>
      </c>
      <c r="D5" s="1">
        <f t="shared" si="0"/>
        <v>943186</v>
      </c>
      <c r="E5" s="1">
        <f t="shared" si="0"/>
        <v>1063284</v>
      </c>
      <c r="F5" s="1">
        <f t="shared" si="0"/>
        <v>1072684</v>
      </c>
    </row>
    <row r="6" spans="1:8" x14ac:dyDescent="0.3">
      <c r="A6" s="6" t="s">
        <v>9</v>
      </c>
      <c r="B6" s="2">
        <v>541175</v>
      </c>
      <c r="C6" s="2">
        <v>637040</v>
      </c>
      <c r="D6" s="2">
        <v>717728</v>
      </c>
      <c r="E6" s="2">
        <v>817908</v>
      </c>
      <c r="F6" s="2">
        <v>859127</v>
      </c>
    </row>
    <row r="7" spans="1:8" x14ac:dyDescent="0.3">
      <c r="A7" s="3" t="s">
        <v>10</v>
      </c>
      <c r="B7" s="1">
        <f>B5-B6</f>
        <v>274938</v>
      </c>
      <c r="C7" s="1">
        <f t="shared" ref="C7:F7" si="1">C5-C6</f>
        <v>126361</v>
      </c>
      <c r="D7" s="1">
        <f t="shared" si="1"/>
        <v>225458</v>
      </c>
      <c r="E7" s="1">
        <f t="shared" si="1"/>
        <v>245376</v>
      </c>
      <c r="F7" s="1">
        <f t="shared" si="1"/>
        <v>213557</v>
      </c>
    </row>
    <row r="8" spans="1:8" x14ac:dyDescent="0.3">
      <c r="A8" s="3" t="s">
        <v>11</v>
      </c>
      <c r="B8" s="1">
        <v>-3339</v>
      </c>
      <c r="C8" s="1">
        <v>-4466</v>
      </c>
      <c r="D8" s="1">
        <v>-942</v>
      </c>
      <c r="E8" s="1">
        <v>660</v>
      </c>
      <c r="F8" s="1">
        <v>-443</v>
      </c>
    </row>
    <row r="9" spans="1:8" x14ac:dyDescent="0.3">
      <c r="A9" s="6" t="s">
        <v>12</v>
      </c>
      <c r="B9" s="2">
        <v>-3189</v>
      </c>
      <c r="C9" s="2">
        <v>-5718</v>
      </c>
      <c r="D9" s="2">
        <v>1430</v>
      </c>
      <c r="E9" s="2">
        <v>-13188</v>
      </c>
      <c r="F9" s="2">
        <v>7167</v>
      </c>
    </row>
    <row r="10" spans="1:8" x14ac:dyDescent="0.3">
      <c r="A10" s="3" t="s">
        <v>13</v>
      </c>
      <c r="B10" s="1">
        <f>B7+B8+B9</f>
        <v>268410</v>
      </c>
      <c r="C10" s="1">
        <f t="shared" ref="C10:F10" si="2">C7+C8+C9</f>
        <v>116177</v>
      </c>
      <c r="D10" s="1">
        <f t="shared" si="2"/>
        <v>225946</v>
      </c>
      <c r="E10" s="1">
        <f t="shared" si="2"/>
        <v>232848</v>
      </c>
      <c r="F10" s="1">
        <f t="shared" si="2"/>
        <v>220281</v>
      </c>
    </row>
    <row r="11" spans="1:8" x14ac:dyDescent="0.3">
      <c r="A11" s="6" t="s">
        <v>14</v>
      </c>
      <c r="B11" s="2">
        <v>-55808</v>
      </c>
      <c r="C11" s="2">
        <v>-26484</v>
      </c>
      <c r="D11" s="2">
        <v>-56061</v>
      </c>
      <c r="E11" s="2">
        <v>-57159</v>
      </c>
      <c r="F11" s="2">
        <v>-54894</v>
      </c>
    </row>
    <row r="12" spans="1:8" x14ac:dyDescent="0.3">
      <c r="A12" s="3" t="s">
        <v>15</v>
      </c>
      <c r="B12" s="1">
        <f>B10+B11</f>
        <v>212602</v>
      </c>
      <c r="C12" s="1">
        <f t="shared" ref="C12:E12" si="3">C10+C11</f>
        <v>89693</v>
      </c>
      <c r="D12" s="1">
        <f t="shared" si="3"/>
        <v>169885</v>
      </c>
      <c r="E12" s="1">
        <f t="shared" si="3"/>
        <v>175689</v>
      </c>
      <c r="F12" s="1">
        <f>F10+F11</f>
        <v>165387</v>
      </c>
    </row>
    <row r="13" spans="1:8" x14ac:dyDescent="0.3">
      <c r="B13" s="1"/>
      <c r="C13" s="1"/>
      <c r="D13" s="1"/>
      <c r="E13" s="1"/>
      <c r="F13" s="1"/>
    </row>
    <row r="14" spans="1:8" x14ac:dyDescent="0.3">
      <c r="A14" s="3"/>
    </row>
    <row r="15" spans="1:8" x14ac:dyDescent="0.3">
      <c r="A15" s="3" t="s">
        <v>16</v>
      </c>
      <c r="B15" s="7">
        <f>B5/B3</f>
        <v>0.57839784718378384</v>
      </c>
      <c r="C15" s="7">
        <f t="shared" ref="C15:F15" si="4">C5/C3</f>
        <v>0.4785547089997505</v>
      </c>
      <c r="D15" s="7">
        <f t="shared" si="4"/>
        <v>0.56862519314673488</v>
      </c>
      <c r="E15" s="7">
        <f t="shared" si="4"/>
        <v>0.58106983380813859</v>
      </c>
      <c r="F15" s="7">
        <f t="shared" si="4"/>
        <v>0.5740901496071168</v>
      </c>
      <c r="G15" s="10" t="s">
        <v>109</v>
      </c>
      <c r="H15" s="20">
        <f>AVERAGE(B15,D15:F15)</f>
        <v>0.57554575593644353</v>
      </c>
    </row>
    <row r="16" spans="1:8" x14ac:dyDescent="0.3">
      <c r="A16" s="3" t="s">
        <v>17</v>
      </c>
      <c r="B16" s="7">
        <f>B7/B3</f>
        <v>0.194854814601673</v>
      </c>
      <c r="C16" s="7">
        <f t="shared" ref="C16:F16" si="5">C7/C3</f>
        <v>7.9212172349679227E-2</v>
      </c>
      <c r="D16" s="7">
        <f t="shared" si="5"/>
        <v>0.13592345390673372</v>
      </c>
      <c r="E16" s="7">
        <f t="shared" si="5"/>
        <v>0.13409455191699096</v>
      </c>
      <c r="F16" s="7">
        <f t="shared" si="5"/>
        <v>0.11429365039438179</v>
      </c>
      <c r="G16" s="10" t="s">
        <v>109</v>
      </c>
      <c r="H16" s="7">
        <f>AVERAGE(B16,D16:F16)</f>
        <v>0.14479161770494486</v>
      </c>
    </row>
    <row r="17" spans="1:8" x14ac:dyDescent="0.3">
      <c r="A17" s="3" t="s">
        <v>18</v>
      </c>
      <c r="B17" s="7">
        <f>B12/B3</f>
        <v>0.15067587344763142</v>
      </c>
      <c r="C17" s="7">
        <f t="shared" ref="C17:F17" si="6">C12/C3</f>
        <v>5.6226029982033847E-2</v>
      </c>
      <c r="D17" s="7">
        <f t="shared" si="6"/>
        <v>0.10241976761501236</v>
      </c>
      <c r="E17" s="7">
        <f t="shared" si="6"/>
        <v>9.6011581131586726E-2</v>
      </c>
      <c r="F17" s="7">
        <f t="shared" si="6"/>
        <v>8.8513530147808883E-2</v>
      </c>
      <c r="G17" s="10" t="s">
        <v>109</v>
      </c>
      <c r="H17" s="20">
        <f>AVERAGE(B17,D17:F17)</f>
        <v>0.10940518808550985</v>
      </c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17D9A-7808-42E3-8251-70EB6C7A5FC6}">
  <dimension ref="A1:D35"/>
  <sheetViews>
    <sheetView workbookViewId="0">
      <selection activeCell="B25" sqref="B25"/>
    </sheetView>
  </sheetViews>
  <sheetFormatPr defaultRowHeight="14.4" x14ac:dyDescent="0.3"/>
  <cols>
    <col min="1" max="1" width="41" bestFit="1" customWidth="1"/>
    <col min="2" max="4" width="14.77734375" bestFit="1" customWidth="1"/>
  </cols>
  <sheetData>
    <row r="1" spans="1:4" x14ac:dyDescent="0.3">
      <c r="A1" s="3" t="s">
        <v>19</v>
      </c>
    </row>
    <row r="2" spans="1:4" x14ac:dyDescent="0.3">
      <c r="B2" t="s">
        <v>4</v>
      </c>
      <c r="C2" t="s">
        <v>5</v>
      </c>
      <c r="D2" t="s">
        <v>6</v>
      </c>
    </row>
    <row r="3" spans="1:4" x14ac:dyDescent="0.3">
      <c r="A3" s="6" t="s">
        <v>22</v>
      </c>
      <c r="B3" s="4"/>
      <c r="C3" s="4"/>
      <c r="D3" s="4"/>
    </row>
    <row r="4" spans="1:4" x14ac:dyDescent="0.3">
      <c r="A4" t="s">
        <v>20</v>
      </c>
      <c r="B4" s="1">
        <v>438960</v>
      </c>
      <c r="C4" s="1">
        <v>358795</v>
      </c>
      <c r="D4" s="1">
        <v>188342</v>
      </c>
    </row>
    <row r="5" spans="1:4" x14ac:dyDescent="0.3">
      <c r="A5" t="s">
        <v>21</v>
      </c>
      <c r="B5" s="1">
        <v>95774</v>
      </c>
      <c r="C5" s="1">
        <v>120190</v>
      </c>
      <c r="D5" s="1">
        <v>141424</v>
      </c>
    </row>
    <row r="6" spans="1:4" x14ac:dyDescent="0.3">
      <c r="A6" t="s">
        <v>23</v>
      </c>
      <c r="B6" s="1">
        <v>337208</v>
      </c>
      <c r="C6" s="1">
        <v>310058</v>
      </c>
      <c r="D6" s="1">
        <v>290611</v>
      </c>
    </row>
    <row r="7" spans="1:4" x14ac:dyDescent="0.3">
      <c r="A7" s="4" t="s">
        <v>24</v>
      </c>
      <c r="B7" s="2">
        <v>42463</v>
      </c>
      <c r="C7" s="2">
        <v>37723</v>
      </c>
      <c r="D7" s="2">
        <v>39949</v>
      </c>
    </row>
    <row r="8" spans="1:4" x14ac:dyDescent="0.3">
      <c r="A8" s="10" t="s">
        <v>25</v>
      </c>
      <c r="B8" s="1">
        <f>SUM(B4:B7)</f>
        <v>914405</v>
      </c>
      <c r="C8" s="1">
        <f t="shared" ref="C8:D8" si="0">SUM(C4:C7)</f>
        <v>826766</v>
      </c>
      <c r="D8" s="1">
        <f t="shared" si="0"/>
        <v>660326</v>
      </c>
    </row>
    <row r="9" spans="1:4" x14ac:dyDescent="0.3">
      <c r="A9" t="s">
        <v>26</v>
      </c>
      <c r="B9" s="1">
        <v>130714</v>
      </c>
      <c r="C9" s="1">
        <v>126270</v>
      </c>
      <c r="D9" s="1">
        <v>142105</v>
      </c>
    </row>
    <row r="10" spans="1:4" x14ac:dyDescent="0.3">
      <c r="A10" t="s">
        <v>27</v>
      </c>
      <c r="B10" s="1">
        <v>77556</v>
      </c>
      <c r="C10" s="1">
        <v>78279</v>
      </c>
      <c r="D10" s="1">
        <v>131531</v>
      </c>
    </row>
    <row r="11" spans="1:4" x14ac:dyDescent="0.3">
      <c r="A11" t="s">
        <v>28</v>
      </c>
      <c r="B11" s="1">
        <v>54293</v>
      </c>
      <c r="C11" s="1">
        <v>72557</v>
      </c>
      <c r="D11" s="1">
        <v>72308</v>
      </c>
    </row>
    <row r="12" spans="1:4" x14ac:dyDescent="0.3">
      <c r="A12" t="s">
        <v>29</v>
      </c>
      <c r="B12" s="1">
        <v>117629</v>
      </c>
      <c r="C12" s="1">
        <v>172023</v>
      </c>
      <c r="D12" s="1">
        <v>219791</v>
      </c>
    </row>
    <row r="13" spans="1:4" x14ac:dyDescent="0.3">
      <c r="A13" s="4" t="s">
        <v>30</v>
      </c>
      <c r="B13" s="2">
        <v>2595</v>
      </c>
      <c r="C13" s="2">
        <v>10225</v>
      </c>
      <c r="D13" s="2">
        <v>9357</v>
      </c>
    </row>
    <row r="14" spans="1:4" x14ac:dyDescent="0.3">
      <c r="A14" s="9" t="s">
        <v>31</v>
      </c>
      <c r="B14" s="14">
        <f>SUM(B8:B13)</f>
        <v>1297192</v>
      </c>
      <c r="C14" s="14">
        <f t="shared" ref="C14:D14" si="1">SUM(C8:C13)</f>
        <v>1286120</v>
      </c>
      <c r="D14" s="14">
        <f t="shared" si="1"/>
        <v>1235418</v>
      </c>
    </row>
    <row r="15" spans="1:4" x14ac:dyDescent="0.3">
      <c r="B15" s="1"/>
      <c r="C15" s="1"/>
      <c r="D15" s="1"/>
    </row>
    <row r="16" spans="1:4" x14ac:dyDescent="0.3">
      <c r="A16" s="6" t="s">
        <v>32</v>
      </c>
      <c r="B16" s="2"/>
      <c r="C16" s="2"/>
      <c r="D16" s="2"/>
    </row>
    <row r="17" spans="1:4" x14ac:dyDescent="0.3">
      <c r="A17" t="s">
        <v>33</v>
      </c>
      <c r="B17" s="1">
        <v>190392</v>
      </c>
      <c r="C17" s="1">
        <v>158499</v>
      </c>
      <c r="D17" s="1">
        <v>140214</v>
      </c>
    </row>
    <row r="18" spans="1:4" x14ac:dyDescent="0.3">
      <c r="A18" t="s">
        <v>34</v>
      </c>
      <c r="B18" s="1">
        <v>130026</v>
      </c>
      <c r="C18" s="1">
        <v>128210</v>
      </c>
      <c r="D18" s="1">
        <v>135353</v>
      </c>
    </row>
    <row r="19" spans="1:4" x14ac:dyDescent="0.3">
      <c r="A19" t="s">
        <v>35</v>
      </c>
      <c r="B19" s="1">
        <v>33489</v>
      </c>
      <c r="C19" s="1">
        <v>38089</v>
      </c>
      <c r="D19" s="1">
        <v>15897</v>
      </c>
    </row>
    <row r="20" spans="1:4" x14ac:dyDescent="0.3">
      <c r="A20" t="s">
        <v>36</v>
      </c>
      <c r="B20" s="1">
        <v>23141</v>
      </c>
      <c r="C20" s="1">
        <v>28610</v>
      </c>
      <c r="D20" s="1">
        <v>22659</v>
      </c>
    </row>
    <row r="21" spans="1:4" x14ac:dyDescent="0.3">
      <c r="A21" t="s">
        <v>40</v>
      </c>
      <c r="B21" s="1">
        <v>14726</v>
      </c>
      <c r="C21" s="1">
        <v>19621</v>
      </c>
      <c r="D21" s="1">
        <v>15044</v>
      </c>
    </row>
    <row r="22" spans="1:4" x14ac:dyDescent="0.3">
      <c r="A22" s="4" t="s">
        <v>37</v>
      </c>
      <c r="B22" s="2">
        <v>6579</v>
      </c>
      <c r="C22" s="2">
        <v>6475</v>
      </c>
      <c r="D22" s="2">
        <v>5172</v>
      </c>
    </row>
    <row r="23" spans="1:4" x14ac:dyDescent="0.3">
      <c r="A23" s="10" t="s">
        <v>38</v>
      </c>
      <c r="B23" s="1">
        <f>SUM(B17:B22)</f>
        <v>398353</v>
      </c>
      <c r="C23" s="1">
        <f t="shared" ref="C23:D23" si="2">SUM(C17:C22)</f>
        <v>379504</v>
      </c>
      <c r="D23" s="1">
        <f t="shared" si="2"/>
        <v>334339</v>
      </c>
    </row>
    <row r="24" spans="1:4" x14ac:dyDescent="0.3">
      <c r="A24" t="s">
        <v>39</v>
      </c>
      <c r="B24" s="1">
        <v>78645</v>
      </c>
      <c r="C24" s="1">
        <v>72821</v>
      </c>
      <c r="D24" s="1">
        <v>68301</v>
      </c>
    </row>
    <row r="25" spans="1:4" x14ac:dyDescent="0.3">
      <c r="A25" t="s">
        <v>41</v>
      </c>
      <c r="B25" s="1">
        <v>76163</v>
      </c>
      <c r="C25" s="1">
        <v>73586</v>
      </c>
      <c r="D25" s="1">
        <v>139945</v>
      </c>
    </row>
    <row r="26" spans="1:4" x14ac:dyDescent="0.3">
      <c r="A26" s="4" t="s">
        <v>42</v>
      </c>
      <c r="B26" s="2">
        <v>20421</v>
      </c>
      <c r="C26" s="2">
        <v>20102</v>
      </c>
      <c r="D26" s="2">
        <v>42557</v>
      </c>
    </row>
    <row r="27" spans="1:4" x14ac:dyDescent="0.3">
      <c r="A27" s="10" t="s">
        <v>43</v>
      </c>
      <c r="B27" s="1">
        <f>SUM(B23:B26)</f>
        <v>573582</v>
      </c>
      <c r="C27" s="1">
        <f t="shared" ref="C27:D27" si="3">SUM(C23:C26)</f>
        <v>546013</v>
      </c>
      <c r="D27" s="1">
        <f t="shared" si="3"/>
        <v>585142</v>
      </c>
    </row>
    <row r="28" spans="1:4" x14ac:dyDescent="0.3">
      <c r="B28" s="1"/>
      <c r="C28" s="1"/>
      <c r="D28" s="1"/>
    </row>
    <row r="29" spans="1:4" x14ac:dyDescent="0.3">
      <c r="A29" t="s">
        <v>44</v>
      </c>
      <c r="B29" s="1">
        <v>886</v>
      </c>
      <c r="C29" s="1">
        <v>892</v>
      </c>
      <c r="D29" s="1">
        <v>900</v>
      </c>
    </row>
    <row r="30" spans="1:4" x14ac:dyDescent="0.3">
      <c r="A30" t="s">
        <v>45</v>
      </c>
      <c r="B30" s="1">
        <v>-100025</v>
      </c>
      <c r="C30" s="1">
        <v>-281587</v>
      </c>
      <c r="D30" s="1">
        <v>-602268</v>
      </c>
    </row>
    <row r="31" spans="1:4" x14ac:dyDescent="0.3">
      <c r="A31" t="s">
        <v>46</v>
      </c>
      <c r="B31" s="1">
        <v>386377</v>
      </c>
      <c r="C31" s="1">
        <v>405921</v>
      </c>
      <c r="D31" s="1">
        <v>471770</v>
      </c>
    </row>
    <row r="32" spans="1:4" x14ac:dyDescent="0.3">
      <c r="A32" t="s">
        <v>47</v>
      </c>
      <c r="B32" s="1">
        <v>438436</v>
      </c>
      <c r="C32" s="1">
        <v>614125</v>
      </c>
      <c r="D32" s="1">
        <v>779512</v>
      </c>
    </row>
    <row r="33" spans="1:4" x14ac:dyDescent="0.3">
      <c r="A33" s="4" t="s">
        <v>48</v>
      </c>
      <c r="B33" s="2">
        <v>-2064</v>
      </c>
      <c r="C33" s="2">
        <v>756</v>
      </c>
      <c r="D33" s="2">
        <v>362</v>
      </c>
    </row>
    <row r="34" spans="1:4" x14ac:dyDescent="0.3">
      <c r="A34" s="11" t="s">
        <v>49</v>
      </c>
      <c r="B34" s="12">
        <f>SUM(B29:B33)</f>
        <v>723610</v>
      </c>
      <c r="C34" s="12">
        <f t="shared" ref="C34:D34" si="4">SUM(C29:C33)</f>
        <v>740107</v>
      </c>
      <c r="D34" s="12">
        <f t="shared" si="4"/>
        <v>650276</v>
      </c>
    </row>
    <row r="35" spans="1:4" x14ac:dyDescent="0.3">
      <c r="A35" s="9" t="s">
        <v>50</v>
      </c>
      <c r="B35" s="13">
        <f>B34+B27</f>
        <v>1297192</v>
      </c>
      <c r="C35" s="13">
        <f t="shared" ref="C35:D35" si="5">C34+C27</f>
        <v>1286120</v>
      </c>
      <c r="D35" s="13">
        <f t="shared" si="5"/>
        <v>1235418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74AE3-8EA5-460B-9FF4-F4BE49158D94}">
  <dimension ref="A1:D66"/>
  <sheetViews>
    <sheetView topLeftCell="A22" workbookViewId="0">
      <selection activeCell="E43" sqref="E43"/>
    </sheetView>
  </sheetViews>
  <sheetFormatPr defaultRowHeight="14.4" x14ac:dyDescent="0.3"/>
  <cols>
    <col min="1" max="1" width="36.6640625" bestFit="1" customWidth="1"/>
    <col min="2" max="2" width="13.109375" bestFit="1" customWidth="1"/>
    <col min="3" max="4" width="13.88671875" bestFit="1" customWidth="1"/>
  </cols>
  <sheetData>
    <row r="1" spans="1:4" x14ac:dyDescent="0.3">
      <c r="A1" s="3" t="s">
        <v>54</v>
      </c>
    </row>
    <row r="2" spans="1:4" x14ac:dyDescent="0.3">
      <c r="B2" t="s">
        <v>4</v>
      </c>
      <c r="C2" t="s">
        <v>5</v>
      </c>
      <c r="D2" t="s">
        <v>6</v>
      </c>
    </row>
    <row r="3" spans="1:4" x14ac:dyDescent="0.3">
      <c r="A3" s="3" t="s">
        <v>55</v>
      </c>
    </row>
    <row r="4" spans="1:4" x14ac:dyDescent="0.3">
      <c r="A4" s="4" t="s">
        <v>15</v>
      </c>
      <c r="B4" s="2">
        <f>'Income Statement (Reported)'!D12</f>
        <v>169885</v>
      </c>
      <c r="C4" s="2">
        <f>'Income Statement (Reported)'!E12</f>
        <v>175689</v>
      </c>
      <c r="D4" s="2">
        <f>'Income Statement (Reported)'!F12</f>
        <v>165387</v>
      </c>
    </row>
    <row r="5" spans="1:4" x14ac:dyDescent="0.3">
      <c r="A5" s="15" t="s">
        <v>52</v>
      </c>
      <c r="B5" s="1">
        <v>46434</v>
      </c>
      <c r="C5" s="1">
        <v>48132</v>
      </c>
      <c r="D5" s="1">
        <v>54232</v>
      </c>
    </row>
    <row r="6" spans="1:4" x14ac:dyDescent="0.3">
      <c r="A6" s="15" t="s">
        <v>56</v>
      </c>
      <c r="B6" s="1">
        <v>604</v>
      </c>
      <c r="C6" s="1">
        <v>649</v>
      </c>
      <c r="D6" s="1">
        <v>653</v>
      </c>
    </row>
    <row r="7" spans="1:4" x14ac:dyDescent="0.3">
      <c r="A7" s="15" t="s">
        <v>57</v>
      </c>
      <c r="B7" s="1">
        <v>29800</v>
      </c>
      <c r="C7" s="1">
        <v>40719</v>
      </c>
      <c r="D7" s="1">
        <v>47688</v>
      </c>
    </row>
    <row r="8" spans="1:4" x14ac:dyDescent="0.3">
      <c r="A8" s="15" t="s">
        <v>58</v>
      </c>
      <c r="B8" s="1">
        <v>25561</v>
      </c>
      <c r="C8" s="1">
        <v>-11167</v>
      </c>
      <c r="D8" s="1">
        <v>28081</v>
      </c>
    </row>
    <row r="9" spans="1:4" x14ac:dyDescent="0.3">
      <c r="A9" s="15" t="s">
        <v>59</v>
      </c>
      <c r="B9" s="1">
        <v>2927</v>
      </c>
      <c r="C9" s="1">
        <v>5490</v>
      </c>
      <c r="D9" s="1">
        <v>3795</v>
      </c>
    </row>
    <row r="10" spans="1:4" x14ac:dyDescent="0.3">
      <c r="A10" s="15" t="s">
        <v>60</v>
      </c>
      <c r="B10" s="1">
        <v>330</v>
      </c>
      <c r="C10" s="1">
        <v>0</v>
      </c>
      <c r="D10" s="1">
        <v>0</v>
      </c>
    </row>
    <row r="11" spans="1:4" x14ac:dyDescent="0.3">
      <c r="A11" s="15" t="s">
        <v>61</v>
      </c>
      <c r="B11" s="1">
        <v>1895</v>
      </c>
      <c r="C11" s="1">
        <v>9939</v>
      </c>
      <c r="D11" s="1">
        <v>2900</v>
      </c>
    </row>
    <row r="12" spans="1:4" x14ac:dyDescent="0.3">
      <c r="A12" s="15" t="s">
        <v>62</v>
      </c>
      <c r="B12" s="17">
        <v>-6163</v>
      </c>
      <c r="C12" s="17">
        <v>9872</v>
      </c>
      <c r="D12" s="17">
        <v>-3881</v>
      </c>
    </row>
    <row r="13" spans="1:4" x14ac:dyDescent="0.3">
      <c r="A13" s="18" t="s">
        <v>63</v>
      </c>
      <c r="B13" s="2">
        <f>SUM(B5:B12)</f>
        <v>101388</v>
      </c>
      <c r="C13" s="2">
        <f t="shared" ref="C13:D13" si="0">SUM(C5:C12)</f>
        <v>103634</v>
      </c>
      <c r="D13" s="2">
        <f t="shared" si="0"/>
        <v>133468</v>
      </c>
    </row>
    <row r="14" spans="1:4" x14ac:dyDescent="0.3">
      <c r="A14" s="15" t="s">
        <v>64</v>
      </c>
      <c r="B14" s="1">
        <v>-15683</v>
      </c>
      <c r="C14" s="1">
        <v>-23655</v>
      </c>
      <c r="D14" s="1">
        <v>-18161</v>
      </c>
    </row>
    <row r="15" spans="1:4" x14ac:dyDescent="0.3">
      <c r="A15" s="15" t="s">
        <v>23</v>
      </c>
      <c r="B15" s="1">
        <v>33675</v>
      </c>
      <c r="C15" s="1">
        <v>39751</v>
      </c>
      <c r="D15" s="1">
        <v>23875</v>
      </c>
    </row>
    <row r="16" spans="1:4" x14ac:dyDescent="0.3">
      <c r="A16" s="15" t="s">
        <v>65</v>
      </c>
      <c r="B16" s="1">
        <v>-7933</v>
      </c>
      <c r="C16" s="1">
        <v>9480</v>
      </c>
      <c r="D16" s="1">
        <v>6614</v>
      </c>
    </row>
    <row r="17" spans="1:4" x14ac:dyDescent="0.3">
      <c r="A17" s="15" t="s">
        <v>66</v>
      </c>
      <c r="B17" s="1">
        <v>-15144</v>
      </c>
      <c r="C17" s="1">
        <v>-47020</v>
      </c>
      <c r="D17" s="1">
        <v>-27687</v>
      </c>
    </row>
    <row r="18" spans="1:4" x14ac:dyDescent="0.3">
      <c r="A18" s="15" t="s">
        <v>67</v>
      </c>
      <c r="B18" s="1">
        <v>18156</v>
      </c>
      <c r="C18" s="1">
        <v>669</v>
      </c>
      <c r="D18" s="1">
        <v>-23941</v>
      </c>
    </row>
    <row r="19" spans="1:4" x14ac:dyDescent="0.3">
      <c r="A19" s="15" t="s">
        <v>68</v>
      </c>
      <c r="B19" s="1">
        <v>1598</v>
      </c>
      <c r="C19" s="1">
        <v>2838</v>
      </c>
      <c r="D19" s="1">
        <v>-4800</v>
      </c>
    </row>
    <row r="20" spans="1:4" x14ac:dyDescent="0.3">
      <c r="A20" s="18" t="s">
        <v>69</v>
      </c>
      <c r="B20" s="2">
        <f>SUM(B14:B19)</f>
        <v>14669</v>
      </c>
      <c r="C20" s="2">
        <f t="shared" ref="C20:D20" si="1">SUM(C14:C19)</f>
        <v>-17937</v>
      </c>
      <c r="D20" s="2">
        <f t="shared" si="1"/>
        <v>-44100</v>
      </c>
    </row>
    <row r="21" spans="1:4" x14ac:dyDescent="0.3">
      <c r="A21" s="16" t="s">
        <v>70</v>
      </c>
      <c r="B21" s="14">
        <f>B4+B13+B20</f>
        <v>285942</v>
      </c>
      <c r="C21" s="14">
        <f t="shared" ref="C21:D21" si="2">C4+C13+C20</f>
        <v>261386</v>
      </c>
      <c r="D21" s="14">
        <f t="shared" si="2"/>
        <v>254755</v>
      </c>
    </row>
    <row r="22" spans="1:4" x14ac:dyDescent="0.3">
      <c r="B22" s="1"/>
      <c r="C22" s="1"/>
      <c r="D22" s="1"/>
    </row>
    <row r="23" spans="1:4" x14ac:dyDescent="0.3">
      <c r="A23" s="6" t="s">
        <v>71</v>
      </c>
      <c r="B23" s="2"/>
      <c r="C23" s="2"/>
      <c r="D23" s="2"/>
    </row>
    <row r="24" spans="1:4" x14ac:dyDescent="0.3">
      <c r="A24" s="15" t="s">
        <v>72</v>
      </c>
      <c r="B24" s="1">
        <v>-50672</v>
      </c>
      <c r="C24" s="1">
        <v>-41832</v>
      </c>
      <c r="D24" s="1">
        <v>-42667</v>
      </c>
    </row>
    <row r="25" spans="1:4" x14ac:dyDescent="0.3">
      <c r="A25" s="15" t="s">
        <v>73</v>
      </c>
      <c r="B25" s="1">
        <v>0</v>
      </c>
      <c r="C25" s="1">
        <v>-36164</v>
      </c>
      <c r="D25" s="1">
        <v>0</v>
      </c>
    </row>
    <row r="26" spans="1:4" x14ac:dyDescent="0.3">
      <c r="A26" s="19" t="s">
        <v>74</v>
      </c>
      <c r="B26" s="2">
        <v>-22152</v>
      </c>
      <c r="C26" s="2">
        <v>-53452</v>
      </c>
      <c r="D26" s="2">
        <v>-59172</v>
      </c>
    </row>
    <row r="27" spans="1:4" x14ac:dyDescent="0.3">
      <c r="A27" s="16" t="s">
        <v>75</v>
      </c>
      <c r="B27" s="1">
        <f>SUM(B24:B26)</f>
        <v>-72824</v>
      </c>
      <c r="C27" s="1">
        <f t="shared" ref="C27:D27" si="3">SUM(C24:C26)</f>
        <v>-131448</v>
      </c>
      <c r="D27" s="1">
        <f t="shared" si="3"/>
        <v>-101839</v>
      </c>
    </row>
    <row r="28" spans="1:4" x14ac:dyDescent="0.3">
      <c r="B28" s="1"/>
      <c r="C28" s="1"/>
      <c r="D28" s="1"/>
    </row>
    <row r="29" spans="1:4" x14ac:dyDescent="0.3">
      <c r="A29" s="6" t="s">
        <v>76</v>
      </c>
      <c r="B29" s="2"/>
      <c r="C29" s="2"/>
      <c r="D29" s="2"/>
    </row>
    <row r="30" spans="1:4" x14ac:dyDescent="0.3">
      <c r="A30" s="15" t="s">
        <v>77</v>
      </c>
      <c r="B30" s="1">
        <v>-7734</v>
      </c>
      <c r="C30" s="1">
        <v>-4219</v>
      </c>
      <c r="D30" s="1">
        <v>-4219</v>
      </c>
    </row>
    <row r="31" spans="1:4" x14ac:dyDescent="0.3">
      <c r="A31" s="15" t="s">
        <v>78</v>
      </c>
      <c r="B31" s="1">
        <v>1573</v>
      </c>
      <c r="C31" s="1">
        <v>294</v>
      </c>
      <c r="D31" s="1">
        <v>0</v>
      </c>
    </row>
    <row r="32" spans="1:4" x14ac:dyDescent="0.3">
      <c r="A32" s="15" t="s">
        <v>79</v>
      </c>
      <c r="B32" s="1">
        <v>-2481</v>
      </c>
      <c r="C32" s="1">
        <v>-1463</v>
      </c>
      <c r="D32" s="1">
        <v>-1831</v>
      </c>
    </row>
    <row r="33" spans="1:4" x14ac:dyDescent="0.3">
      <c r="A33" s="15" t="s">
        <v>80</v>
      </c>
      <c r="B33" s="1">
        <v>-2130</v>
      </c>
      <c r="C33" s="1">
        <v>-3829</v>
      </c>
      <c r="D33" s="1">
        <v>-16000</v>
      </c>
    </row>
    <row r="34" spans="1:4" x14ac:dyDescent="0.3">
      <c r="A34" s="15" t="s">
        <v>81</v>
      </c>
      <c r="B34" s="1">
        <v>0</v>
      </c>
      <c r="C34" s="1">
        <v>-200000</v>
      </c>
      <c r="D34" s="1">
        <v>-297780</v>
      </c>
    </row>
    <row r="35" spans="1:4" x14ac:dyDescent="0.3">
      <c r="A35" s="15" t="s">
        <v>82</v>
      </c>
      <c r="B35" s="1">
        <v>-2824</v>
      </c>
      <c r="C35" s="1">
        <v>0</v>
      </c>
      <c r="D35" s="1">
        <v>0</v>
      </c>
    </row>
    <row r="36" spans="1:4" x14ac:dyDescent="0.3">
      <c r="A36" s="19" t="s">
        <v>83</v>
      </c>
      <c r="B36" s="2">
        <v>0</v>
      </c>
      <c r="C36" s="2">
        <v>0</v>
      </c>
      <c r="D36" s="2">
        <v>-1562</v>
      </c>
    </row>
    <row r="37" spans="1:4" x14ac:dyDescent="0.3">
      <c r="A37" s="9" t="s">
        <v>84</v>
      </c>
      <c r="B37" s="14">
        <f>SUM(B30:B36)</f>
        <v>-13596</v>
      </c>
      <c r="C37" s="14">
        <f t="shared" ref="C37:D37" si="4">SUM(C30:C36)</f>
        <v>-209217</v>
      </c>
      <c r="D37" s="14">
        <f t="shared" si="4"/>
        <v>-321392</v>
      </c>
    </row>
    <row r="38" spans="1:4" x14ac:dyDescent="0.3">
      <c r="B38" s="1"/>
      <c r="C38" s="1"/>
      <c r="D38" s="1"/>
    </row>
    <row r="39" spans="1:4" x14ac:dyDescent="0.3">
      <c r="A39" s="3" t="s">
        <v>85</v>
      </c>
      <c r="B39" s="1"/>
      <c r="C39" s="1"/>
      <c r="D39" s="1"/>
    </row>
    <row r="40" spans="1:4" x14ac:dyDescent="0.3">
      <c r="A40" t="s">
        <v>86</v>
      </c>
      <c r="B40" s="1">
        <v>4697</v>
      </c>
      <c r="C40" s="1">
        <v>-886</v>
      </c>
      <c r="D40" s="1">
        <v>-1959</v>
      </c>
    </row>
    <row r="41" spans="1:4" x14ac:dyDescent="0.3">
      <c r="A41" t="s">
        <v>87</v>
      </c>
      <c r="B41" s="1">
        <v>204219</v>
      </c>
      <c r="C41" s="1">
        <v>-80165</v>
      </c>
      <c r="D41" s="1">
        <v>-170453</v>
      </c>
    </row>
    <row r="42" spans="1:4" x14ac:dyDescent="0.3">
      <c r="A42" t="s">
        <v>89</v>
      </c>
      <c r="B42" s="1">
        <v>234741</v>
      </c>
      <c r="C42" s="1">
        <v>438960</v>
      </c>
      <c r="D42" s="1">
        <v>358795</v>
      </c>
    </row>
    <row r="43" spans="1:4" x14ac:dyDescent="0.3">
      <c r="A43" t="s">
        <v>88</v>
      </c>
      <c r="B43" s="1">
        <v>438960</v>
      </c>
      <c r="C43" s="1">
        <v>358795</v>
      </c>
      <c r="D43" s="1">
        <v>188342</v>
      </c>
    </row>
    <row r="44" spans="1:4" x14ac:dyDescent="0.3">
      <c r="B44" s="1"/>
      <c r="C44" s="1"/>
      <c r="D44" s="1"/>
    </row>
    <row r="45" spans="1:4" x14ac:dyDescent="0.3">
      <c r="B45" s="1"/>
      <c r="C45" s="1"/>
      <c r="D45" s="1"/>
    </row>
    <row r="46" spans="1:4" x14ac:dyDescent="0.3">
      <c r="B46" s="1"/>
      <c r="C46" s="1"/>
      <c r="D46" s="1"/>
    </row>
    <row r="47" spans="1:4" x14ac:dyDescent="0.3">
      <c r="B47" s="1"/>
      <c r="C47" s="1"/>
      <c r="D47" s="1"/>
    </row>
    <row r="48" spans="1:4" x14ac:dyDescent="0.3">
      <c r="B48" s="1"/>
      <c r="C48" s="1"/>
      <c r="D48" s="1"/>
    </row>
    <row r="49" spans="2:4" x14ac:dyDescent="0.3">
      <c r="B49" s="1"/>
      <c r="C49" s="1"/>
      <c r="D49" s="1"/>
    </row>
    <row r="50" spans="2:4" x14ac:dyDescent="0.3">
      <c r="B50" s="1"/>
      <c r="C50" s="1"/>
      <c r="D50" s="1"/>
    </row>
    <row r="51" spans="2:4" x14ac:dyDescent="0.3">
      <c r="B51" s="1"/>
      <c r="C51" s="1"/>
      <c r="D51" s="1"/>
    </row>
    <row r="52" spans="2:4" x14ac:dyDescent="0.3">
      <c r="B52" s="1"/>
      <c r="C52" s="1"/>
      <c r="D52" s="1"/>
    </row>
    <row r="53" spans="2:4" x14ac:dyDescent="0.3">
      <c r="B53" s="1"/>
      <c r="C53" s="1"/>
      <c r="D53" s="1"/>
    </row>
    <row r="54" spans="2:4" x14ac:dyDescent="0.3">
      <c r="B54" s="1"/>
      <c r="C54" s="1"/>
      <c r="D54" s="1"/>
    </row>
    <row r="55" spans="2:4" x14ac:dyDescent="0.3">
      <c r="B55" s="1"/>
      <c r="C55" s="1"/>
      <c r="D55" s="1"/>
    </row>
    <row r="56" spans="2:4" x14ac:dyDescent="0.3">
      <c r="B56" s="1"/>
      <c r="C56" s="1"/>
      <c r="D56" s="1"/>
    </row>
    <row r="57" spans="2:4" x14ac:dyDescent="0.3">
      <c r="B57" s="1"/>
      <c r="C57" s="1"/>
      <c r="D57" s="1"/>
    </row>
    <row r="58" spans="2:4" x14ac:dyDescent="0.3">
      <c r="B58" s="1"/>
      <c r="C58" s="1"/>
      <c r="D58" s="1"/>
    </row>
    <row r="59" spans="2:4" x14ac:dyDescent="0.3">
      <c r="B59" s="1"/>
      <c r="C59" s="1"/>
      <c r="D59" s="1"/>
    </row>
    <row r="60" spans="2:4" x14ac:dyDescent="0.3">
      <c r="B60" s="1"/>
      <c r="C60" s="1"/>
      <c r="D60" s="1"/>
    </row>
    <row r="61" spans="2:4" x14ac:dyDescent="0.3">
      <c r="B61" s="1"/>
      <c r="C61" s="1"/>
      <c r="D61" s="1"/>
    </row>
    <row r="62" spans="2:4" x14ac:dyDescent="0.3">
      <c r="B62" s="1"/>
      <c r="C62" s="1"/>
      <c r="D62" s="1"/>
    </row>
    <row r="63" spans="2:4" x14ac:dyDescent="0.3">
      <c r="B63" s="1"/>
      <c r="C63" s="1"/>
      <c r="D63" s="1"/>
    </row>
    <row r="64" spans="2:4" x14ac:dyDescent="0.3">
      <c r="B64" s="1"/>
      <c r="C64" s="1"/>
      <c r="D64" s="1"/>
    </row>
    <row r="65" spans="2:4" x14ac:dyDescent="0.3">
      <c r="B65" s="1"/>
      <c r="C65" s="1"/>
      <c r="D65" s="1"/>
    </row>
    <row r="66" spans="2:4" x14ac:dyDescent="0.3">
      <c r="B66" s="1"/>
      <c r="C66" s="1"/>
      <c r="D66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Discounted Cash Flow</vt:lpstr>
      <vt:lpstr>FCF</vt:lpstr>
      <vt:lpstr>Income Statement (Reported)</vt:lpstr>
      <vt:lpstr>Balance Sheet</vt:lpstr>
      <vt:lpstr>Cash Flow Statement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Caleb Cort</dc:creator>
  <cp:lastModifiedBy>Caleb Cort</cp:lastModifiedBy>
  <dcterms:created xsi:type="dcterms:W3CDTF">2026-03-09T19:14:43Z</dcterms:created>
  <dcterms:modified xsi:type="dcterms:W3CDTF">2026-03-10T14:21:01Z</dcterms:modified>
</cp:coreProperties>
</file>